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clearsprings-my.sharepoint.com/personal/jesse_trushenski_riverence_com/Documents/Jesse Trushenski Files/AFS/Piper Redux/WG Materials/2nd Drafts/S1.7 Feed and Nutrition/"/>
    </mc:Choice>
  </mc:AlternateContent>
  <xr:revisionPtr revIDLastSave="239" documentId="8_{2413970E-E56E-4C5F-A0FB-75C789710778}" xr6:coauthVersionLast="47" xr6:coauthVersionMax="47" xr10:uidLastSave="{680076F3-47DB-4B88-A223-69A2686254CA}"/>
  <bookViews>
    <workbookView xWindow="28680" yWindow="-120" windowWidth="29040" windowHeight="15720" xr2:uid="{00000000-000D-0000-FFFF-FFFF00000000}"/>
  </bookViews>
  <sheets>
    <sheet name="Feed Projection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H33" i="1" s="1"/>
  <c r="I33" i="1" s="1"/>
  <c r="J33" i="1" s="1"/>
  <c r="F33" i="1"/>
  <c r="E33" i="1"/>
  <c r="K33" i="1" s="1"/>
  <c r="C33" i="1"/>
  <c r="G34" i="1" l="1"/>
  <c r="E34" i="1" s="1"/>
  <c r="D33" i="1"/>
  <c r="C34" i="1" s="1"/>
  <c r="F34" i="1" l="1"/>
  <c r="H34" i="1"/>
  <c r="G35" i="1"/>
  <c r="G36" i="1" s="1"/>
  <c r="G37" i="1" s="1"/>
  <c r="G38" i="1" s="1"/>
  <c r="G39" i="1" s="1"/>
  <c r="G40" i="1" s="1"/>
  <c r="D34" i="1"/>
  <c r="C35" i="1" s="1"/>
  <c r="G41" i="1" l="1"/>
  <c r="G42" i="1" s="1"/>
  <c r="G43" i="1" s="1"/>
  <c r="G44" i="1" s="1"/>
  <c r="G45" i="1" s="1"/>
  <c r="G46" i="1" s="1"/>
  <c r="I34" i="1"/>
  <c r="J34" i="1" s="1"/>
  <c r="E35" i="1"/>
  <c r="F35" i="1" s="1"/>
  <c r="H35" i="1"/>
  <c r="D35" i="1"/>
  <c r="C36" i="1" s="1"/>
  <c r="E46" i="1" l="1"/>
  <c r="K46" i="1" s="1"/>
  <c r="H46" i="1"/>
  <c r="G47" i="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D36" i="1"/>
  <c r="C37" i="1" s="1"/>
  <c r="I35" i="1"/>
  <c r="J35" i="1" s="1"/>
  <c r="H36" i="1"/>
  <c r="E36" i="1"/>
  <c r="F36" i="1" s="1"/>
  <c r="E37" i="1" l="1"/>
  <c r="F37" i="1" s="1"/>
  <c r="H37" i="1"/>
  <c r="I36" i="1"/>
  <c r="J36" i="1" s="1"/>
  <c r="D37" i="1"/>
  <c r="C38" i="1" s="1"/>
  <c r="I37" i="1" l="1"/>
  <c r="J37" i="1" s="1"/>
  <c r="E38" i="1"/>
  <c r="F38" i="1" s="1"/>
  <c r="H38" i="1"/>
  <c r="D38" i="1"/>
  <c r="C39" i="1" s="1"/>
  <c r="D39" i="1" s="1"/>
  <c r="I38" i="1" l="1"/>
  <c r="J38" i="1" s="1"/>
  <c r="E39" i="1"/>
  <c r="F39" i="1" s="1"/>
  <c r="H39" i="1"/>
  <c r="C40" i="1"/>
  <c r="D40" i="1" s="1"/>
  <c r="I39" i="1" l="1"/>
  <c r="J39" i="1" s="1"/>
  <c r="E40" i="1"/>
  <c r="F40" i="1" s="1"/>
  <c r="H40" i="1"/>
  <c r="C41" i="1"/>
  <c r="D41" i="1" s="1"/>
  <c r="I40" i="1" l="1"/>
  <c r="J40" i="1" s="1"/>
  <c r="H41" i="1"/>
  <c r="E41" i="1"/>
  <c r="F41" i="1" s="1"/>
  <c r="C42" i="1"/>
  <c r="D42" i="1" s="1"/>
  <c r="I41" i="1" l="1"/>
  <c r="J41" i="1" s="1"/>
  <c r="H42" i="1"/>
  <c r="E42" i="1"/>
  <c r="F42" i="1" s="1"/>
  <c r="C43" i="1"/>
  <c r="D43" i="1" l="1"/>
  <c r="C44" i="1" s="1"/>
  <c r="I42" i="1"/>
  <c r="J42" i="1" s="1"/>
  <c r="H43" i="1"/>
  <c r="E43" i="1"/>
  <c r="F43" i="1" s="1"/>
  <c r="I43" i="1" l="1"/>
  <c r="J43" i="1" s="1"/>
  <c r="H44" i="1"/>
  <c r="E44" i="1"/>
  <c r="F44" i="1" s="1"/>
  <c r="D44" i="1"/>
  <c r="C45" i="1" s="1"/>
  <c r="D45" i="1" l="1"/>
  <c r="C46" i="1" s="1"/>
  <c r="I44" i="1"/>
  <c r="J44" i="1" s="1"/>
  <c r="H45" i="1"/>
  <c r="E45" i="1"/>
  <c r="F45" i="1" s="1"/>
  <c r="F46" i="1" l="1"/>
  <c r="I46" i="1" s="1"/>
  <c r="J46" i="1" s="1"/>
  <c r="D46" i="1"/>
  <c r="C47" i="1" s="1"/>
  <c r="D47" i="1" s="1"/>
  <c r="I45" i="1"/>
  <c r="J45" i="1" s="1"/>
  <c r="H47" i="1" l="1"/>
  <c r="E47" i="1"/>
  <c r="F47" i="1" s="1"/>
  <c r="C48" i="1"/>
  <c r="D48" i="1" l="1"/>
  <c r="C49" i="1" s="1"/>
  <c r="D49" i="1" s="1"/>
  <c r="I47" i="1"/>
  <c r="J47" i="1" s="1"/>
  <c r="H48" i="1"/>
  <c r="E48" i="1"/>
  <c r="F48" i="1" s="1"/>
  <c r="I48" i="1" l="1"/>
  <c r="J48" i="1" s="1"/>
  <c r="H49" i="1"/>
  <c r="E49" i="1"/>
  <c r="F49" i="1" s="1"/>
  <c r="C50" i="1"/>
  <c r="D50" i="1" s="1"/>
  <c r="I49" i="1" l="1"/>
  <c r="J49" i="1" s="1"/>
  <c r="H50" i="1"/>
  <c r="E50" i="1"/>
  <c r="F50" i="1" s="1"/>
  <c r="C51" i="1"/>
  <c r="I50" i="1" l="1"/>
  <c r="J50" i="1" s="1"/>
  <c r="H51" i="1"/>
  <c r="E51" i="1"/>
  <c r="F51" i="1" s="1"/>
  <c r="D51" i="1"/>
  <c r="C52" i="1" s="1"/>
  <c r="D52" i="1" s="1"/>
  <c r="I51" i="1" l="1"/>
  <c r="J51" i="1" s="1"/>
  <c r="H52" i="1"/>
  <c r="E52" i="1"/>
  <c r="F52" i="1" s="1"/>
  <c r="C53" i="1"/>
  <c r="D53" i="1" s="1"/>
  <c r="I52" i="1" l="1"/>
  <c r="J52" i="1" s="1"/>
  <c r="H53" i="1"/>
  <c r="E53" i="1"/>
  <c r="F53" i="1" s="1"/>
  <c r="C54" i="1"/>
  <c r="D54" i="1" s="1"/>
  <c r="I53" i="1" l="1"/>
  <c r="J53" i="1" s="1"/>
  <c r="H54" i="1"/>
  <c r="E54" i="1"/>
  <c r="F54" i="1" s="1"/>
  <c r="C55" i="1"/>
  <c r="D55" i="1" s="1"/>
  <c r="I54" i="1" l="1"/>
  <c r="J54" i="1" s="1"/>
  <c r="H55" i="1"/>
  <c r="E55" i="1"/>
  <c r="F55" i="1" s="1"/>
  <c r="C56" i="1"/>
  <c r="I55" i="1" l="1"/>
  <c r="J55" i="1" s="1"/>
  <c r="H56" i="1"/>
  <c r="E56" i="1"/>
  <c r="F56" i="1" s="1"/>
  <c r="D56" i="1"/>
  <c r="C57" i="1" s="1"/>
  <c r="D57" i="1" s="1"/>
  <c r="I56" i="1" l="1"/>
  <c r="J56" i="1" s="1"/>
  <c r="H57" i="1"/>
  <c r="E57" i="1"/>
  <c r="F57" i="1" s="1"/>
  <c r="C58" i="1"/>
  <c r="D58" i="1" s="1"/>
  <c r="I57" i="1" l="1"/>
  <c r="J57" i="1" s="1"/>
  <c r="H58" i="1"/>
  <c r="E58" i="1"/>
  <c r="F58" i="1" s="1"/>
  <c r="C59" i="1"/>
  <c r="D59" i="1" s="1"/>
  <c r="I58" i="1" l="1"/>
  <c r="J58" i="1" s="1"/>
  <c r="H59" i="1"/>
  <c r="E59" i="1"/>
  <c r="F59" i="1" s="1"/>
  <c r="C60" i="1"/>
  <c r="D60" i="1" s="1"/>
  <c r="I59" i="1" l="1"/>
  <c r="J59" i="1" s="1"/>
  <c r="H60" i="1"/>
  <c r="E60" i="1"/>
  <c r="F60" i="1" s="1"/>
  <c r="C61" i="1"/>
  <c r="D61" i="1" s="1"/>
  <c r="I60" i="1" l="1"/>
  <c r="J60" i="1" s="1"/>
  <c r="H61" i="1"/>
  <c r="E61" i="1"/>
  <c r="F61" i="1" s="1"/>
  <c r="C62" i="1"/>
  <c r="I61" i="1" l="1"/>
  <c r="J61" i="1" s="1"/>
  <c r="D62" i="1"/>
  <c r="C63" i="1" s="1"/>
  <c r="D63" i="1" s="1"/>
  <c r="H62" i="1"/>
  <c r="E62" i="1"/>
  <c r="F62" i="1" s="1"/>
  <c r="I62" i="1" l="1"/>
  <c r="J62" i="1" s="1"/>
  <c r="H63" i="1"/>
  <c r="E63" i="1"/>
  <c r="F63" i="1" s="1"/>
  <c r="C64" i="1"/>
  <c r="I63" i="1" l="1"/>
  <c r="J63" i="1" s="1"/>
  <c r="D64" i="1"/>
  <c r="C65" i="1" s="1"/>
  <c r="H64" i="1"/>
  <c r="E64" i="1"/>
  <c r="F64" i="1" s="1"/>
  <c r="D65" i="1" l="1"/>
  <c r="C66" i="1" s="1"/>
  <c r="I64" i="1"/>
  <c r="J64" i="1" s="1"/>
  <c r="H65" i="1"/>
  <c r="E65" i="1"/>
  <c r="F65" i="1" s="1"/>
  <c r="I65" i="1" l="1"/>
  <c r="J65" i="1" s="1"/>
  <c r="D66" i="1"/>
  <c r="C67" i="1" s="1"/>
  <c r="H66" i="1"/>
  <c r="E66" i="1"/>
  <c r="F66" i="1" s="1"/>
  <c r="I66" i="1" l="1"/>
  <c r="J66" i="1" s="1"/>
  <c r="D67" i="1"/>
  <c r="C68" i="1" s="1"/>
  <c r="D68" i="1" s="1"/>
  <c r="H67" i="1"/>
  <c r="E67" i="1"/>
  <c r="F67" i="1" s="1"/>
  <c r="I67" i="1" l="1"/>
  <c r="J67" i="1" s="1"/>
  <c r="H68" i="1"/>
  <c r="E68" i="1"/>
  <c r="F68" i="1" s="1"/>
  <c r="C69" i="1"/>
  <c r="D69" i="1" s="1"/>
  <c r="I68" i="1" l="1"/>
  <c r="J68" i="1" s="1"/>
  <c r="H69" i="1"/>
  <c r="E69" i="1"/>
  <c r="F69" i="1" s="1"/>
  <c r="C70" i="1"/>
  <c r="D70" i="1" s="1"/>
  <c r="I69" i="1" l="1"/>
  <c r="J69" i="1" s="1"/>
  <c r="H70" i="1"/>
  <c r="E70" i="1"/>
  <c r="F70" i="1" s="1"/>
  <c r="C71" i="1"/>
  <c r="D71" i="1" s="1"/>
  <c r="I70" i="1" l="1"/>
  <c r="J70" i="1" s="1"/>
  <c r="H71" i="1"/>
  <c r="E71" i="1"/>
  <c r="F71" i="1" s="1"/>
  <c r="C72" i="1"/>
  <c r="D72" i="1" s="1"/>
  <c r="I71" i="1" l="1"/>
  <c r="J71" i="1" s="1"/>
  <c r="H72" i="1"/>
  <c r="E72" i="1"/>
  <c r="F72" i="1" s="1"/>
  <c r="C73" i="1"/>
  <c r="D73" i="1" s="1"/>
  <c r="I72" i="1" l="1"/>
  <c r="J72" i="1" s="1"/>
  <c r="H73" i="1"/>
  <c r="E73" i="1"/>
  <c r="F73" i="1" s="1"/>
  <c r="C74" i="1"/>
  <c r="D74" i="1" s="1"/>
  <c r="I73" i="1" l="1"/>
  <c r="J73" i="1" s="1"/>
  <c r="H74" i="1"/>
  <c r="E74" i="1"/>
  <c r="F74" i="1" s="1"/>
  <c r="C75" i="1"/>
  <c r="D75" i="1" s="1"/>
  <c r="I74" i="1" l="1"/>
  <c r="J74" i="1" s="1"/>
  <c r="H75" i="1"/>
  <c r="E75" i="1"/>
  <c r="F75" i="1" s="1"/>
  <c r="C76" i="1"/>
  <c r="I75" i="1" l="1"/>
  <c r="J75" i="1" s="1"/>
  <c r="D76" i="1"/>
  <c r="C77" i="1" s="1"/>
  <c r="D77" i="1" s="1"/>
  <c r="H76" i="1"/>
  <c r="E76" i="1"/>
  <c r="F76" i="1" s="1"/>
  <c r="I76" i="1" l="1"/>
  <c r="J76" i="1" s="1"/>
  <c r="H77" i="1"/>
  <c r="E77" i="1"/>
  <c r="F77" i="1" s="1"/>
  <c r="C78" i="1"/>
  <c r="I77" i="1" l="1"/>
  <c r="J77" i="1" s="1"/>
  <c r="H78" i="1"/>
  <c r="E78" i="1"/>
  <c r="K78" i="1" s="1"/>
  <c r="D78" i="1"/>
  <c r="C79" i="1" s="1"/>
  <c r="D79" i="1" s="1"/>
  <c r="F78" i="1" l="1"/>
  <c r="I78" i="1" s="1"/>
  <c r="J78" i="1" s="1"/>
  <c r="H79" i="1"/>
  <c r="E79" i="1"/>
  <c r="K79" i="1" s="1"/>
  <c r="C80" i="1"/>
  <c r="D80" i="1" s="1"/>
  <c r="F79" i="1" l="1"/>
  <c r="I79" i="1" s="1"/>
  <c r="J79" i="1" s="1"/>
  <c r="H80" i="1"/>
  <c r="E80" i="1"/>
  <c r="K80" i="1" s="1"/>
  <c r="C81" i="1"/>
  <c r="D81" i="1" s="1"/>
  <c r="F80" i="1" l="1"/>
  <c r="I80" i="1" s="1"/>
  <c r="J80" i="1" s="1"/>
  <c r="H81" i="1"/>
  <c r="E81" i="1"/>
  <c r="K81" i="1" s="1"/>
  <c r="C82" i="1"/>
  <c r="D82" i="1" s="1"/>
  <c r="F81" i="1" l="1"/>
  <c r="I81" i="1" s="1"/>
  <c r="J81" i="1" s="1"/>
  <c r="H82" i="1"/>
  <c r="E82" i="1"/>
  <c r="K82" i="1" s="1"/>
  <c r="C83" i="1"/>
  <c r="D83" i="1" s="1"/>
  <c r="F82" i="1" l="1"/>
  <c r="I82" i="1" s="1"/>
  <c r="J82" i="1" s="1"/>
  <c r="H83" i="1"/>
  <c r="E83" i="1"/>
  <c r="K83" i="1" s="1"/>
  <c r="C84" i="1"/>
  <c r="F83" i="1" l="1"/>
  <c r="I83" i="1" s="1"/>
  <c r="J83" i="1" s="1"/>
  <c r="D84" i="1"/>
  <c r="H84" i="1"/>
  <c r="E84" i="1"/>
  <c r="K84" i="1" s="1"/>
  <c r="F84" i="1" l="1"/>
  <c r="I84" i="1" s="1"/>
  <c r="J84" i="1" s="1"/>
  <c r="K77" i="1" l="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5" i="1"/>
  <c r="K44" i="1"/>
  <c r="K43" i="1"/>
  <c r="K42" i="1"/>
  <c r="K41" i="1"/>
  <c r="K40" i="1"/>
  <c r="K39" i="1"/>
  <c r="K37" i="1"/>
  <c r="K35" i="1"/>
  <c r="K36" i="1"/>
  <c r="K38" i="1"/>
  <c r="K34" i="1"/>
  <c r="J16" i="1" s="1"/>
  <c r="J21" i="1" l="1"/>
  <c r="J17" i="1"/>
  <c r="J20" i="1"/>
  <c r="J19" i="1"/>
  <c r="J13" i="1"/>
  <c r="J18" i="1"/>
  <c r="J14" i="1"/>
  <c r="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Jesse Trushenski</author>
  </authors>
  <commentList>
    <comment ref="B6" authorId="0" shapeId="0" xr:uid="{C0CE84B1-E918-4CCC-8EA5-56E692D3A944}">
      <text>
        <r>
          <rPr>
            <b/>
            <sz val="9"/>
            <color indexed="81"/>
            <rFont val="Tahoma"/>
            <family val="2"/>
          </rPr>
          <t xml:space="preserve">Cells with red arrows in the upper right corner have "Notes" with further information. </t>
        </r>
      </text>
    </comment>
    <comment ref="C12" authorId="0" shapeId="0" xr:uid="{72550D40-C411-48BB-B57F-81821810012D}">
      <text>
        <r>
          <rPr>
            <b/>
            <sz val="9"/>
            <color indexed="81"/>
            <rFont val="Tahoma"/>
            <family val="2"/>
          </rPr>
          <t>Enter the current population size or the estimated size at the beginning of the time period for which you are projecting feed demand.  This could be the number of fish in a particular size class or lot, the number of fish in a raceway, or some other grouping of similarly sized fish.</t>
        </r>
      </text>
    </comment>
    <comment ref="H12" authorId="0" shapeId="0" xr:uid="{8C6278BF-DE95-4563-BFF5-0806CABFCDD5}">
      <text>
        <r>
          <rPr>
            <b/>
            <sz val="9"/>
            <color indexed="81"/>
            <rFont val="Tahoma"/>
            <family val="2"/>
          </rPr>
          <t xml:space="preserve">Different weight classes can be entered here, with the understanding that the calculations below and the Total Projected Feed Demand  will be based on the weight classes and values entered into the lookup table.  </t>
        </r>
        <r>
          <rPr>
            <sz val="9"/>
            <color indexed="81"/>
            <rFont val="Tahoma"/>
            <family val="2"/>
          </rPr>
          <t xml:space="preserve">
</t>
        </r>
      </text>
    </comment>
    <comment ref="I12" authorId="0" shapeId="0" xr:uid="{D313DC3D-33B6-419C-A9E1-A8B9473E9F15}">
      <text>
        <r>
          <rPr>
            <b/>
            <sz val="9"/>
            <color indexed="81"/>
            <rFont val="Tahoma"/>
            <family val="2"/>
          </rPr>
          <t xml:space="preserve">Enter the size, brand, or other descriptions for the feeds to be offered to the different weight classes of fish indicated.  </t>
        </r>
      </text>
    </comment>
    <comment ref="J12" authorId="0" shapeId="0" xr:uid="{920F6AE2-B4AC-4FC7-9944-9DF6285F496B}">
      <text>
        <r>
          <rPr>
            <b/>
            <sz val="9"/>
            <color indexed="81"/>
            <rFont val="Tahoma"/>
            <family val="2"/>
          </rPr>
          <t xml:space="preserve">Values are the projected amounts of each of the feed sizes or products needed based on the number of fish to be fed over the entire projection period.  </t>
        </r>
      </text>
    </comment>
    <comment ref="C13" authorId="0" shapeId="0" xr:uid="{6CA2E965-7F23-4DE7-850E-CFD02C5E324B}">
      <text>
        <r>
          <rPr>
            <b/>
            <sz val="9"/>
            <color indexed="81"/>
            <rFont val="Tahoma"/>
            <family val="2"/>
          </rPr>
          <t xml:space="preserve">Enter the current average length (in inches) of the fish or the estimated average length at the beginning of the time period for which you are projecting feed demand.  </t>
        </r>
      </text>
    </comment>
    <comment ref="C14" authorId="0" shapeId="0" xr:uid="{27BF6045-4556-463D-9B02-79B23A5B880C}">
      <text>
        <r>
          <rPr>
            <b/>
            <sz val="9"/>
            <color indexed="81"/>
            <rFont val="Tahoma"/>
            <family val="2"/>
          </rPr>
          <t xml:space="preserve">Enter the current average weight (in fish per pound) of the fish or the estimated average weight at the beginning of the time period for which you are projecting feed demand.  </t>
        </r>
        <r>
          <rPr>
            <sz val="9"/>
            <color indexed="81"/>
            <rFont val="Tahoma"/>
            <family val="2"/>
          </rPr>
          <t xml:space="preserve">
</t>
        </r>
      </text>
    </comment>
    <comment ref="C15" authorId="0" shapeId="0" xr:uid="{3248F0CA-054B-497F-ADDB-83C12628FE34}">
      <text>
        <r>
          <rPr>
            <b/>
            <sz val="9"/>
            <color indexed="81"/>
            <rFont val="Tahoma"/>
            <family val="2"/>
          </rPr>
          <t xml:space="preserve">Enter the number of days per period, assuming that rations and feed sizes will be adjusted once per period.  For weekly adjustments, enter 7; for biweekly adjustments, enter 14, etc. </t>
        </r>
      </text>
    </comment>
    <comment ref="C16" authorId="0" shapeId="0" xr:uid="{A18454B9-DF84-45C1-B693-77C323CFE53B}">
      <text>
        <r>
          <rPr>
            <b/>
            <sz val="9"/>
            <color indexed="81"/>
            <rFont val="Tahoma"/>
            <family val="2"/>
          </rPr>
          <t>Enter the Condition Factor (CF) to be used as a constant for calculating fish weight relative to length.  Values are based on the body conformation of particular species or strain of fish.  Typical values are as follows, but should be adjusted based on observed or desired CF values for each facility.  
Muskellunge (1.6)
North Pike (1.8)
Lake Trout (2.7)
Chinook Salmon (3.0)
Walleye (3.0)
Channel Catfish (2.9)
Westslope Cutthroat Trout (3.6)
Coho Salmon (3.7)
Steelhead Trout (3.4)
Rainbow Trout (4.0)
Brook Trout (4.0)
Brown Trout (4.0)</t>
        </r>
      </text>
    </comment>
    <comment ref="C19" authorId="0" shapeId="0" xr:uid="{FACABCFE-4C48-4930-97A7-B6FF9E2D7B84}">
      <text>
        <r>
          <rPr>
            <b/>
            <sz val="9"/>
            <color indexed="81"/>
            <rFont val="Tahoma"/>
            <family val="2"/>
          </rPr>
          <t xml:space="preserve">Different size classes may be entered here, with the understanding that the calculations below will be based on the size classes and values entered into the lookup table.  </t>
        </r>
        <r>
          <rPr>
            <sz val="9"/>
            <color indexed="81"/>
            <rFont val="Tahoma"/>
            <family val="2"/>
          </rPr>
          <t xml:space="preserve">
</t>
        </r>
      </text>
    </comment>
    <comment ref="D19" authorId="0" shapeId="0" xr:uid="{03B37014-22FD-45C7-95AD-AE61B349F339}">
      <text>
        <r>
          <rPr>
            <b/>
            <sz val="9"/>
            <color indexed="81"/>
            <rFont val="Tahoma"/>
            <family val="2"/>
          </rPr>
          <t>Enter the typical daily mortality rates observed for the different size classes of fish indicated.</t>
        </r>
        <r>
          <rPr>
            <sz val="9"/>
            <color indexed="81"/>
            <rFont val="Tahoma"/>
            <family val="2"/>
          </rPr>
          <t xml:space="preserve">
</t>
        </r>
      </text>
    </comment>
    <comment ref="E19" authorId="0" shapeId="0" xr:uid="{2C337C2A-5238-4EFC-8762-5487691D8550}">
      <text>
        <r>
          <rPr>
            <b/>
            <sz val="9"/>
            <color indexed="81"/>
            <rFont val="Tahoma"/>
            <family val="2"/>
          </rPr>
          <t>Enter the typical feed conversion ratios typically observed for the different size classes of fish indicated</t>
        </r>
      </text>
    </comment>
    <comment ref="F19" authorId="0" shapeId="0" xr:uid="{2FF4177C-1341-4A55-8C7D-0A1F454FB26E}">
      <text>
        <r>
          <rPr>
            <b/>
            <sz val="9"/>
            <color indexed="81"/>
            <rFont val="Tahoma"/>
            <family val="2"/>
          </rPr>
          <t>Enter the expected Delta L (daily increase in length) for each of the size classes of fish indicated.</t>
        </r>
        <r>
          <rPr>
            <sz val="9"/>
            <color indexed="81"/>
            <rFont val="Tahoma"/>
            <family val="2"/>
          </rPr>
          <t xml:space="preserve">
</t>
        </r>
      </text>
    </comment>
    <comment ref="B32" authorId="0" shapeId="0" xr:uid="{A48CC60F-7229-4484-BBD5-4F3050E7D0D9}">
      <text>
        <r>
          <rPr>
            <b/>
            <sz val="9"/>
            <color indexed="81"/>
            <rFont val="Tahoma"/>
            <family val="2"/>
          </rPr>
          <t xml:space="preserve">Period refers to the time interval for feed adjustment (e.g., weekly, biweekly, monthly) based on the number of Days per Period entered in the Lot Information table.  The calculation table is set up for 52 periods or 1 year, assuming weekly feed adjustments. Feed projections can be calculated for fewer periods by manually adjusting the population sizes (# of Fish at Start of Period) to zero for periods beyond the desired projection period.    </t>
        </r>
        <r>
          <rPr>
            <sz val="9"/>
            <color indexed="81"/>
            <rFont val="Tahoma"/>
            <family val="2"/>
          </rPr>
          <t xml:space="preserve">
</t>
        </r>
      </text>
    </comment>
    <comment ref="C32" authorId="0" shapeId="0" xr:uid="{E28D8EE9-5FC6-4BD6-8D52-53FEE5A9C045}">
      <text>
        <r>
          <rPr>
            <b/>
            <sz val="9"/>
            <color indexed="81"/>
            <rFont val="Tahoma"/>
            <family val="2"/>
          </rPr>
          <t xml:space="preserve"># of Fish at Start of Period refers to the starting number of fish in the group to be fed for a given period.  For the 1st period, the value is based on the Starting Population Size entered in the Lot Information table.  For subsequent periods, the value is based on the population size for the previous period adjusted for mortalities.  If the population is to be reduced for other reasons (e.g., for a partial harvest or culling event), the number of fish can be entered manually with the understanding that this will override the formula for calculating population sizes automatically.  </t>
        </r>
      </text>
    </comment>
    <comment ref="D32" authorId="0" shapeId="0" xr:uid="{FA5D6BDC-41A4-4058-AFBF-E3B167839AA3}">
      <text>
        <r>
          <rPr>
            <b/>
            <sz val="9"/>
            <color indexed="81"/>
            <rFont val="Tahoma"/>
            <family val="2"/>
          </rPr>
          <t xml:space="preserve"># of Mortalities in Period refers to the number of mortalities (or other reductions in population size) expected to occur during the period.  The calculations are based on the Daily Mortality Rate entered in the lookup table, but can also be entered manually with the understanding that this will override the formula for calculating population sizes automatically.  </t>
        </r>
      </text>
    </comment>
    <comment ref="E32" authorId="0" shapeId="0" xr:uid="{41E73429-36D1-4299-AF42-2AF15EB3295A}">
      <text>
        <r>
          <rPr>
            <b/>
            <sz val="9"/>
            <color indexed="81"/>
            <rFont val="Tahoma"/>
            <family val="2"/>
          </rPr>
          <t xml:space="preserve">Fish Weight refers to the starting weight of the fish in the group to be fed for a given period.  For the 1st period, the value is based on the Starting Fish Weight entered in the Lot Information table  For subsequent periods, the value is based on Length and the Condition Factor entered in the Lot Information table.  </t>
        </r>
        <r>
          <rPr>
            <sz val="9"/>
            <color indexed="81"/>
            <rFont val="Tahoma"/>
            <family val="2"/>
          </rPr>
          <t xml:space="preserve">
</t>
        </r>
      </text>
    </comment>
    <comment ref="F32" authorId="0" shapeId="0" xr:uid="{8A1CEF43-FF24-41CC-B2FE-914830C9A6A7}">
      <text>
        <r>
          <rPr>
            <b/>
            <sz val="9"/>
            <color indexed="81"/>
            <rFont val="Tahoma"/>
            <family val="2"/>
          </rPr>
          <t xml:space="preserve">Biomass refers to the total weight of the fish in the group to be fed for a given period.  The calculation is based on the population size and fish weight, either as entered in the Lot Information table or as calculated for the period.  </t>
        </r>
        <r>
          <rPr>
            <sz val="9"/>
            <color indexed="81"/>
            <rFont val="Tahoma"/>
            <family val="2"/>
          </rPr>
          <t xml:space="preserve">
</t>
        </r>
      </text>
    </comment>
    <comment ref="G32" authorId="0" shapeId="0" xr:uid="{341C4C2D-0708-4F64-88AF-EAA2BA850D8E}">
      <text>
        <r>
          <rPr>
            <b/>
            <sz val="9"/>
            <color indexed="81"/>
            <rFont val="Tahoma"/>
            <family val="2"/>
          </rPr>
          <t xml:space="preserve">Length refers to the starting length of the fish in the group to be fed for a given period.  For the 1st period, the value is based on the Starting Fish Length entered in the Lot Information table.  For subsequent periods, the value is based on the Delta L entered in the lookup table.  </t>
        </r>
        <r>
          <rPr>
            <sz val="9"/>
            <color indexed="81"/>
            <rFont val="Tahoma"/>
            <family val="2"/>
          </rPr>
          <t xml:space="preserve">
</t>
        </r>
      </text>
    </comment>
    <comment ref="H32" authorId="0" shapeId="0" xr:uid="{9AE70175-EEC0-475A-A0DC-F070FC9A06A5}">
      <text>
        <r>
          <rPr>
            <b/>
            <sz val="9"/>
            <color indexed="81"/>
            <rFont val="Tahoma"/>
            <family val="2"/>
          </rPr>
          <t xml:space="preserve">Daily Ration (% bw/d) refers to the amount of feed to be fed to the group of fish each day expressed as a % of their body weight.  The value is based on the Length of the fish, the Expected FCR, and the Expected (or desired) Delta L entered in the lookup table.   </t>
        </r>
        <r>
          <rPr>
            <sz val="9"/>
            <color indexed="81"/>
            <rFont val="Tahoma"/>
            <family val="2"/>
          </rPr>
          <t xml:space="preserve">
</t>
        </r>
      </text>
    </comment>
    <comment ref="I32" authorId="0" shapeId="0" xr:uid="{1269195D-BD7D-4B8A-B254-94A600397D37}">
      <text>
        <r>
          <rPr>
            <b/>
            <sz val="9"/>
            <color indexed="81"/>
            <rFont val="Tahoma"/>
            <family val="2"/>
          </rPr>
          <t xml:space="preserve">Daily Ration (lbs/d) refers to the amount of feed to be fed to the group of fish each day expressed as a total feed weight.  The value is based on the Biomass of the fish and the Daily Ration (% bw/d).  </t>
        </r>
      </text>
    </comment>
    <comment ref="J32" authorId="0" shapeId="0" xr:uid="{9E7172D8-077B-4FEC-91BE-8AC7B94ACAA9}">
      <text>
        <r>
          <rPr>
            <b/>
            <sz val="9"/>
            <color indexed="81"/>
            <rFont val="Tahoma"/>
            <family val="2"/>
          </rPr>
          <t xml:space="preserve">Total Feed for Period refers to the total amount of feed to be fed to the group of fish for a given period.  The value is based on the Daily Ration (lbs/d) and the number of Days per Period entered in the Lot Information table.  </t>
        </r>
      </text>
    </comment>
    <comment ref="K32" authorId="0" shapeId="0" xr:uid="{9362417E-E434-4D9A-A602-80901904AF14}">
      <text>
        <r>
          <rPr>
            <b/>
            <sz val="9"/>
            <color indexed="81"/>
            <rFont val="Tahoma"/>
            <family val="2"/>
          </rPr>
          <t xml:space="preserve">Feed Size refers to the feed size or product to be fed to the group of fish based on their size/weight during a given period.  The values is based on the information entered in the lookup table.  </t>
        </r>
        <r>
          <rPr>
            <sz val="9"/>
            <color indexed="81"/>
            <rFont val="Tahoma"/>
            <family val="2"/>
          </rPr>
          <t xml:space="preserve">
</t>
        </r>
      </text>
    </comment>
  </commentList>
</comments>
</file>

<file path=xl/sharedStrings.xml><?xml version="1.0" encoding="utf-8"?>
<sst xmlns="http://schemas.openxmlformats.org/spreadsheetml/2006/main" count="37" uniqueCount="36">
  <si>
    <t>Starter</t>
  </si>
  <si>
    <t>#1</t>
  </si>
  <si>
    <t>#2</t>
  </si>
  <si>
    <t>#4</t>
  </si>
  <si>
    <t>#3</t>
  </si>
  <si>
    <t>Feed size (# or mm)</t>
  </si>
  <si>
    <t># of Mortalities in Period</t>
  </si>
  <si>
    <t>Period</t>
  </si>
  <si>
    <t>Length (in)</t>
  </si>
  <si>
    <t>Daily Ration (% bw/d)</t>
  </si>
  <si>
    <t>Daily Ration (lbs/d)</t>
  </si>
  <si>
    <t>Feed Size</t>
  </si>
  <si>
    <t>Starting Population Size (# of fish)</t>
  </si>
  <si>
    <t>Starting Fish Length (inches)</t>
  </si>
  <si>
    <t>Starting Fish Weight (FPP)</t>
  </si>
  <si>
    <t>Biomass (lbs)</t>
  </si>
  <si>
    <t># of Days per Period</t>
  </si>
  <si>
    <t>Total Feed for Period</t>
  </si>
  <si>
    <t>Daily Mortality Rate (%)</t>
  </si>
  <si>
    <t>Expected FCR</t>
  </si>
  <si>
    <t>Expected Delta L</t>
  </si>
  <si>
    <t>Condition Factor (e.g., Rainbow Trout = 4.3)</t>
  </si>
  <si>
    <t>INPUTS</t>
  </si>
  <si>
    <t>OUTPUTS</t>
  </si>
  <si>
    <t>LOT INFORMATION</t>
  </si>
  <si>
    <t>EXPECTED MORTALITY RATE, FCR, AND DELTA L LOOKUP TABLE</t>
  </si>
  <si>
    <t>FEED SIZE LOOKUP TABLE</t>
  </si>
  <si>
    <t>Fish Weight (FPP)</t>
  </si>
  <si>
    <t>Total Projected Feed Demand (lbs)</t>
  </si>
  <si>
    <t>User must enter information in the yellow cells</t>
  </si>
  <si>
    <t>Information calculated based on user inputs</t>
  </si>
  <si>
    <t># of Fish at Start of Period</t>
  </si>
  <si>
    <t>Fish Size (minimum fish length in inches)</t>
  </si>
  <si>
    <t>DISCLAIMER :</t>
  </si>
  <si>
    <t xml:space="preserve">Feed projection calculator is intended for educational purposes only.  Calculations will be affected by user inputs and any changes made to the embedded calculations.  Feed projections should always be verified by culturists familiar with the underlying principles and calculations used herein.  </t>
  </si>
  <si>
    <t xml:space="preserve">Cells with red arrows in the upper right corner have "Notes" with further information.  To show Notes, hover over the cell/arrow or select the appropriate option from the Review &gt; Notes menu.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</si>
</sst>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11" x14ac:knownFonts="1">
    <font>
      <sz val="10"/>
      <color theme="1"/>
      <name val="Arial"/>
      <family val="2"/>
    </font>
    <font>
      <sz val="10"/>
      <color theme="1"/>
      <name val="Arial"/>
      <family val="2"/>
    </font>
    <font>
      <sz val="12"/>
      <color theme="1"/>
      <name val="Arial"/>
      <family val="2"/>
    </font>
    <font>
      <sz val="14"/>
      <color theme="1"/>
      <name val="Arial"/>
      <family val="2"/>
    </font>
    <font>
      <sz val="16"/>
      <color theme="1"/>
      <name val="Arial"/>
      <family val="2"/>
    </font>
    <font>
      <b/>
      <sz val="16"/>
      <color theme="1"/>
      <name val="Arial"/>
      <family val="2"/>
    </font>
    <font>
      <b/>
      <sz val="12"/>
      <color theme="1"/>
      <name val="Arial"/>
      <family val="2"/>
    </font>
    <font>
      <sz val="9"/>
      <color indexed="81"/>
      <name val="Tahoma"/>
      <family val="2"/>
    </font>
    <font>
      <b/>
      <sz val="9"/>
      <color indexed="81"/>
      <name val="Tahoma"/>
      <family val="2"/>
    </font>
    <font>
      <b/>
      <sz val="16"/>
      <color rgb="FFC00000"/>
      <name val="Arial"/>
      <family val="2"/>
    </font>
    <font>
      <sz val="12"/>
      <color rgb="FFC0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2" fontId="0" fillId="0" borderId="0" xfId="0" applyNumberFormat="1"/>
    <xf numFmtId="165" fontId="0" fillId="0" borderId="0" xfId="1" applyNumberFormat="1" applyFont="1"/>
    <xf numFmtId="0" fontId="2" fillId="0" borderId="0" xfId="0" applyFont="1"/>
    <xf numFmtId="0" fontId="3" fillId="0" borderId="0" xfId="0" applyFont="1"/>
    <xf numFmtId="165" fontId="4" fillId="0" borderId="0" xfId="1" applyNumberFormat="1" applyFont="1"/>
    <xf numFmtId="0" fontId="4" fillId="0" borderId="0" xfId="0" applyFont="1"/>
    <xf numFmtId="2" fontId="4" fillId="0" borderId="0" xfId="0" applyNumberFormat="1" applyFont="1"/>
    <xf numFmtId="165" fontId="0" fillId="0" borderId="0" xfId="0" applyNumberFormat="1"/>
    <xf numFmtId="165" fontId="4" fillId="0" borderId="0" xfId="1" applyNumberFormat="1" applyFont="1" applyFill="1" applyBorder="1"/>
    <xf numFmtId="165" fontId="4" fillId="0" borderId="0" xfId="1" applyNumberFormat="1" applyFont="1" applyFill="1" applyBorder="1" applyAlignment="1">
      <alignment horizontal="center"/>
    </xf>
    <xf numFmtId="0" fontId="6" fillId="0" borderId="12" xfId="0" applyFont="1" applyBorder="1"/>
    <xf numFmtId="0" fontId="6" fillId="0" borderId="13" xfId="0" applyFont="1" applyBorder="1"/>
    <xf numFmtId="0" fontId="6" fillId="0" borderId="14" xfId="0" applyFont="1" applyBorder="1"/>
    <xf numFmtId="0" fontId="2" fillId="0" borderId="4" xfId="0" applyFont="1" applyBorder="1"/>
    <xf numFmtId="0" fontId="2" fillId="2" borderId="0" xfId="0" applyFont="1" applyFill="1" applyAlignment="1">
      <alignment horizontal="center"/>
    </xf>
    <xf numFmtId="1" fontId="2" fillId="3" borderId="5" xfId="0" applyNumberFormat="1" applyFont="1" applyFill="1" applyBorder="1"/>
    <xf numFmtId="0" fontId="2" fillId="0" borderId="6" xfId="0" applyFont="1" applyBorder="1"/>
    <xf numFmtId="0" fontId="2" fillId="2" borderId="7" xfId="0" applyFont="1" applyFill="1" applyBorder="1" applyAlignment="1">
      <alignment horizontal="center"/>
    </xf>
    <xf numFmtId="1" fontId="2" fillId="3" borderId="8" xfId="0" applyNumberFormat="1" applyFont="1" applyFill="1" applyBorder="1"/>
    <xf numFmtId="2" fontId="2" fillId="0" borderId="1" xfId="0" applyNumberFormat="1" applyFont="1" applyBorder="1"/>
    <xf numFmtId="0" fontId="2" fillId="0" borderId="2" xfId="0" applyFont="1" applyBorder="1"/>
    <xf numFmtId="0" fontId="2" fillId="2" borderId="3" xfId="0" applyFont="1" applyFill="1" applyBorder="1"/>
    <xf numFmtId="2" fontId="2" fillId="0" borderId="4" xfId="0" applyNumberFormat="1" applyFont="1" applyBorder="1"/>
    <xf numFmtId="0" fontId="2" fillId="2" borderId="5" xfId="0" applyFont="1" applyFill="1" applyBorder="1"/>
    <xf numFmtId="2" fontId="2" fillId="2" borderId="5" xfId="0" applyNumberFormat="1" applyFont="1" applyFill="1" applyBorder="1"/>
    <xf numFmtId="2" fontId="2" fillId="0" borderId="6" xfId="0" applyNumberFormat="1" applyFont="1" applyBorder="1"/>
    <xf numFmtId="0" fontId="2" fillId="0" borderId="7" xfId="0" applyFont="1" applyBorder="1"/>
    <xf numFmtId="0" fontId="2" fillId="2" borderId="8" xfId="0" applyFont="1" applyFill="1" applyBorder="1"/>
    <xf numFmtId="164" fontId="2" fillId="2" borderId="0" xfId="0" applyNumberFormat="1" applyFont="1" applyFill="1"/>
    <xf numFmtId="0" fontId="2" fillId="2" borderId="0" xfId="0" applyFont="1" applyFill="1"/>
    <xf numFmtId="164" fontId="2" fillId="2" borderId="7" xfId="0" applyNumberFormat="1" applyFont="1" applyFill="1" applyBorder="1"/>
    <xf numFmtId="0" fontId="2" fillId="2" borderId="7" xfId="0" applyFont="1" applyFill="1" applyBorder="1"/>
    <xf numFmtId="0" fontId="5" fillId="0" borderId="0" xfId="0" applyFont="1"/>
    <xf numFmtId="1" fontId="4" fillId="0" borderId="0" xfId="0" applyNumberFormat="1" applyFont="1"/>
    <xf numFmtId="10" fontId="4" fillId="0" borderId="0" xfId="0" applyNumberFormat="1" applyFont="1"/>
    <xf numFmtId="165" fontId="4" fillId="0" borderId="4" xfId="1" applyNumberFormat="1" applyFont="1" applyFill="1" applyBorder="1"/>
    <xf numFmtId="0" fontId="4" fillId="0" borderId="5" xfId="0" applyFont="1" applyBorder="1" applyAlignment="1">
      <alignment horizontal="center"/>
    </xf>
    <xf numFmtId="165" fontId="4" fillId="0" borderId="6" xfId="1" applyNumberFormat="1" applyFont="1" applyFill="1" applyBorder="1"/>
    <xf numFmtId="1" fontId="4" fillId="0" borderId="7" xfId="0" applyNumberFormat="1" applyFont="1" applyBorder="1"/>
    <xf numFmtId="2" fontId="4" fillId="0" borderId="7" xfId="0" applyNumberFormat="1" applyFont="1" applyBorder="1"/>
    <xf numFmtId="10" fontId="4" fillId="0" borderId="7" xfId="0" applyNumberFormat="1" applyFont="1" applyBorder="1"/>
    <xf numFmtId="0" fontId="4" fillId="0" borderId="8" xfId="0" applyFont="1" applyBorder="1" applyAlignment="1">
      <alignment horizontal="center"/>
    </xf>
    <xf numFmtId="165" fontId="5" fillId="0" borderId="9" xfId="1" applyNumberFormat="1" applyFont="1" applyFill="1" applyBorder="1"/>
    <xf numFmtId="0" fontId="5" fillId="0" borderId="10" xfId="0" applyFont="1" applyBorder="1"/>
    <xf numFmtId="2" fontId="5" fillId="0" borderId="10" xfId="0" applyNumberFormat="1" applyFont="1" applyBorder="1"/>
    <xf numFmtId="0" fontId="5" fillId="0" borderId="11" xfId="0" applyFont="1" applyBorder="1"/>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164" fontId="2" fillId="2" borderId="0" xfId="0" applyNumberFormat="1" applyFont="1" applyFill="1" applyBorder="1"/>
    <xf numFmtId="0" fontId="2" fillId="2" borderId="0" xfId="0" applyFont="1" applyFill="1" applyBorder="1"/>
    <xf numFmtId="2" fontId="5" fillId="0" borderId="9" xfId="0" applyNumberFormat="1" applyFont="1" applyBorder="1" applyAlignment="1">
      <alignment horizontal="left"/>
    </xf>
    <xf numFmtId="2" fontId="5" fillId="0" borderId="10" xfId="0" applyNumberFormat="1" applyFont="1" applyBorder="1" applyAlignment="1">
      <alignment horizontal="left"/>
    </xf>
    <xf numFmtId="2" fontId="5" fillId="0" borderId="11" xfId="0" applyNumberFormat="1" applyFont="1" applyBorder="1" applyAlignment="1">
      <alignment horizontal="left"/>
    </xf>
    <xf numFmtId="1" fontId="0" fillId="0" borderId="0" xfId="0" applyNumberFormat="1" applyBorder="1"/>
    <xf numFmtId="0" fontId="0" fillId="0" borderId="7" xfId="0" applyBorder="1"/>
    <xf numFmtId="0" fontId="0" fillId="0" borderId="7" xfId="0" applyBorder="1" applyAlignment="1">
      <alignment horizontal="center"/>
    </xf>
    <xf numFmtId="0" fontId="9" fillId="0" borderId="0" xfId="0" applyFont="1" applyAlignment="1">
      <alignment horizontal="right"/>
    </xf>
    <xf numFmtId="2" fontId="10" fillId="0" borderId="0" xfId="0" applyNumberFormat="1" applyFont="1" applyAlignment="1">
      <alignment horizontal="left" vertical="top" wrapText="1"/>
    </xf>
    <xf numFmtId="0" fontId="5" fillId="2" borderId="15" xfId="0" applyFont="1" applyFill="1" applyBorder="1"/>
    <xf numFmtId="0" fontId="2" fillId="0" borderId="11" xfId="0" applyFont="1" applyBorder="1"/>
    <xf numFmtId="2" fontId="10" fillId="0" borderId="0" xfId="0" applyNumberFormat="1" applyFont="1" applyAlignment="1">
      <alignment vertical="top" wrapText="1"/>
    </xf>
    <xf numFmtId="0" fontId="9" fillId="0" borderId="16" xfId="0" applyFont="1" applyBorder="1" applyAlignment="1">
      <alignment horizontal="center" vertical="top"/>
    </xf>
    <xf numFmtId="0" fontId="9" fillId="0" borderId="17" xfId="0" applyFont="1" applyBorder="1" applyAlignment="1">
      <alignment horizontal="center" vertical="top"/>
    </xf>
    <xf numFmtId="0" fontId="5" fillId="0" borderId="15" xfId="0" applyFont="1" applyFill="1" applyBorder="1"/>
    <xf numFmtId="0" fontId="5" fillId="3" borderId="15" xfId="0" applyFont="1" applyFill="1" applyBorder="1"/>
    <xf numFmtId="2" fontId="10" fillId="0" borderId="2" xfId="0" applyNumberFormat="1" applyFont="1" applyBorder="1" applyAlignment="1">
      <alignment horizontal="left" vertical="top" wrapText="1"/>
    </xf>
    <xf numFmtId="2" fontId="10" fillId="0" borderId="3" xfId="0" applyNumberFormat="1" applyFont="1" applyBorder="1" applyAlignment="1">
      <alignment horizontal="left" vertical="top" wrapText="1"/>
    </xf>
    <xf numFmtId="2" fontId="10" fillId="0" borderId="7" xfId="0" applyNumberFormat="1" applyFont="1" applyBorder="1" applyAlignment="1">
      <alignment horizontal="left" vertical="top" wrapText="1"/>
    </xf>
    <xf numFmtId="2" fontId="10" fillId="0" borderId="8" xfId="0" applyNumberFormat="1" applyFont="1" applyBorder="1" applyAlignment="1">
      <alignment horizontal="left" vertical="top" wrapText="1"/>
    </xf>
    <xf numFmtId="0" fontId="0" fillId="0" borderId="0" xfId="0" applyFill="1" applyBorder="1"/>
    <xf numFmtId="0" fontId="5" fillId="0" borderId="0" xfId="0" applyFont="1" applyFill="1" applyBorder="1"/>
    <xf numFmtId="0" fontId="2" fillId="0" borderId="0" xfId="0" applyFont="1" applyFill="1" applyBorder="1"/>
    <xf numFmtId="0" fontId="9" fillId="0" borderId="0" xfId="0" applyFont="1" applyFill="1" applyBorder="1" applyAlignment="1">
      <alignment horizontal="right"/>
    </xf>
    <xf numFmtId="2" fontId="10" fillId="0" borderId="0" xfId="0" applyNumberFormat="1" applyFont="1" applyFill="1" applyBorder="1" applyAlignment="1">
      <alignment vertical="top" wrapText="1"/>
    </xf>
    <xf numFmtId="0" fontId="4" fillId="0" borderId="0" xfId="0" applyFont="1" applyFill="1" applyBorder="1"/>
    <xf numFmtId="2" fontId="10" fillId="0" borderId="0" xfId="0" applyNumberFormat="1" applyFont="1" applyFill="1" applyBorder="1" applyAlignment="1">
      <alignment horizontal="left" vertical="top" wrapText="1"/>
    </xf>
    <xf numFmtId="2" fontId="10" fillId="0" borderId="1" xfId="0" applyNumberFormat="1" applyFont="1" applyBorder="1" applyAlignment="1">
      <alignment horizontal="left" vertical="top" wrapText="1"/>
    </xf>
    <xf numFmtId="2" fontId="10" fillId="0" borderId="6" xfId="0" applyNumberFormat="1" applyFont="1" applyBorder="1" applyAlignment="1">
      <alignment horizontal="left" vertical="top" wrapText="1"/>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4"/>
  <sheetViews>
    <sheetView tabSelected="1" zoomScale="55" zoomScaleNormal="55" workbookViewId="0">
      <selection activeCell="B96" sqref="B96"/>
    </sheetView>
  </sheetViews>
  <sheetFormatPr defaultRowHeight="12.5" x14ac:dyDescent="0.25"/>
  <cols>
    <col min="1" max="1" width="92.90625" customWidth="1"/>
    <col min="2" max="2" width="22.1796875" style="2" customWidth="1"/>
    <col min="3" max="3" width="48.36328125" bestFit="1" customWidth="1"/>
    <col min="4" max="4" width="36" bestFit="1" customWidth="1"/>
    <col min="5" max="5" width="26.54296875" style="1" customWidth="1"/>
    <col min="6" max="6" width="20.54296875" style="1" bestFit="1" customWidth="1"/>
    <col min="7" max="7" width="16.36328125" bestFit="1" customWidth="1"/>
    <col min="8" max="8" width="31.36328125" bestFit="1" customWidth="1"/>
    <col min="9" max="9" width="25.7265625" style="1" customWidth="1"/>
    <col min="10" max="10" width="47.7265625" style="1" customWidth="1"/>
    <col min="11" max="11" width="14.26953125" bestFit="1" customWidth="1"/>
    <col min="12" max="12" width="11.36328125" customWidth="1"/>
    <col min="13" max="13" width="13" customWidth="1"/>
    <col min="14" max="14" width="17.81640625" bestFit="1" customWidth="1"/>
    <col min="15" max="16" width="11.08984375" customWidth="1"/>
    <col min="18" max="18" width="17.08984375" customWidth="1"/>
    <col min="19" max="19" width="9.36328125" bestFit="1" customWidth="1"/>
  </cols>
  <sheetData>
    <row r="1" spans="2:12" ht="20" customHeight="1" thickBot="1" x14ac:dyDescent="0.3"/>
    <row r="2" spans="2:12" ht="20" customHeight="1" thickBot="1" x14ac:dyDescent="0.45">
      <c r="B2" s="60" t="s">
        <v>22</v>
      </c>
      <c r="C2" s="61" t="s">
        <v>29</v>
      </c>
      <c r="D2" s="58"/>
      <c r="E2" s="62"/>
      <c r="F2" s="62"/>
      <c r="G2" s="62"/>
      <c r="H2" s="62"/>
      <c r="I2" s="62"/>
      <c r="J2" s="62"/>
      <c r="K2" s="6"/>
      <c r="L2" s="3"/>
    </row>
    <row r="3" spans="2:12" s="71" customFormat="1" ht="20" customHeight="1" thickBot="1" x14ac:dyDescent="0.45">
      <c r="B3" s="72"/>
      <c r="C3" s="73"/>
      <c r="D3" s="74"/>
      <c r="E3" s="75"/>
      <c r="F3" s="75"/>
      <c r="G3" s="75"/>
      <c r="H3" s="75"/>
      <c r="I3" s="75"/>
      <c r="J3" s="75"/>
      <c r="K3" s="76"/>
      <c r="L3" s="73"/>
    </row>
    <row r="4" spans="2:12" ht="20.5" thickBot="1" x14ac:dyDescent="0.45">
      <c r="B4" s="66" t="s">
        <v>23</v>
      </c>
      <c r="C4" s="61" t="s">
        <v>30</v>
      </c>
      <c r="D4" s="6"/>
      <c r="E4" s="62"/>
      <c r="F4" s="62"/>
      <c r="G4" s="62"/>
      <c r="H4" s="62"/>
      <c r="I4" s="62"/>
      <c r="J4" s="62"/>
      <c r="K4" s="6"/>
      <c r="L4" s="3"/>
    </row>
    <row r="5" spans="2:12" s="71" customFormat="1" ht="20.5" thickBot="1" x14ac:dyDescent="0.45">
      <c r="B5" s="72"/>
      <c r="C5" s="73"/>
      <c r="D5" s="76"/>
      <c r="E5" s="75"/>
      <c r="F5" s="75"/>
      <c r="G5" s="75"/>
      <c r="H5" s="75"/>
      <c r="I5" s="75"/>
      <c r="J5" s="75"/>
      <c r="K5" s="76"/>
      <c r="L5" s="73"/>
    </row>
    <row r="6" spans="2:12" ht="20.5" thickBot="1" x14ac:dyDescent="0.45">
      <c r="B6" s="65"/>
      <c r="C6" s="80" t="s">
        <v>35</v>
      </c>
      <c r="D6" s="81"/>
      <c r="E6" s="81"/>
      <c r="F6" s="81"/>
      <c r="G6" s="81"/>
      <c r="H6" s="81"/>
      <c r="I6" s="82"/>
      <c r="J6" s="59"/>
      <c r="K6" s="6"/>
      <c r="L6" s="3"/>
    </row>
    <row r="7" spans="2:12" s="71" customFormat="1" ht="20.5" thickBot="1" x14ac:dyDescent="0.45">
      <c r="B7" s="72"/>
      <c r="C7" s="73"/>
      <c r="D7" s="76"/>
      <c r="E7" s="77"/>
      <c r="F7" s="77"/>
      <c r="G7" s="77"/>
      <c r="H7" s="77"/>
      <c r="I7" s="77"/>
      <c r="J7" s="77"/>
      <c r="K7" s="76"/>
      <c r="L7" s="73"/>
    </row>
    <row r="8" spans="2:12" ht="20" customHeight="1" x14ac:dyDescent="0.4">
      <c r="B8" s="63" t="s">
        <v>33</v>
      </c>
      <c r="C8" s="78" t="s">
        <v>34</v>
      </c>
      <c r="D8" s="67"/>
      <c r="E8" s="67"/>
      <c r="F8" s="67"/>
      <c r="G8" s="67"/>
      <c r="H8" s="67"/>
      <c r="I8" s="67"/>
      <c r="J8" s="68"/>
      <c r="K8" s="6"/>
      <c r="L8" s="3"/>
    </row>
    <row r="9" spans="2:12" ht="20.5" thickBot="1" x14ac:dyDescent="0.45">
      <c r="B9" s="64"/>
      <c r="C9" s="79"/>
      <c r="D9" s="69"/>
      <c r="E9" s="69"/>
      <c r="F9" s="69"/>
      <c r="G9" s="69"/>
      <c r="H9" s="69"/>
      <c r="I9" s="69"/>
      <c r="J9" s="70"/>
      <c r="K9" s="6"/>
      <c r="L9" s="3"/>
    </row>
    <row r="10" spans="2:12" ht="20.5" thickBot="1" x14ac:dyDescent="0.45">
      <c r="B10" s="33"/>
      <c r="C10" s="6"/>
      <c r="D10" s="6"/>
      <c r="E10" s="7"/>
      <c r="F10" s="7"/>
      <c r="G10" s="6"/>
      <c r="H10" s="6"/>
      <c r="I10" s="7"/>
      <c r="J10" s="7"/>
      <c r="K10" s="6"/>
      <c r="L10" s="3"/>
    </row>
    <row r="11" spans="2:12" ht="20.5" thickBot="1" x14ac:dyDescent="0.45">
      <c r="B11" s="9"/>
      <c r="C11" s="52" t="s">
        <v>24</v>
      </c>
      <c r="D11" s="53"/>
      <c r="E11" s="53"/>
      <c r="F11" s="54"/>
      <c r="H11" s="47" t="s">
        <v>26</v>
      </c>
      <c r="I11" s="48"/>
      <c r="J11" s="49"/>
      <c r="L11" s="3"/>
    </row>
    <row r="12" spans="2:12" ht="20" x14ac:dyDescent="0.4">
      <c r="B12" s="10"/>
      <c r="C12" s="20" t="s">
        <v>12</v>
      </c>
      <c r="D12" s="21"/>
      <c r="E12" s="21"/>
      <c r="F12" s="22">
        <v>50000</v>
      </c>
      <c r="H12" s="11" t="s">
        <v>27</v>
      </c>
      <c r="I12" s="12" t="s">
        <v>5</v>
      </c>
      <c r="J12" s="13" t="s">
        <v>28</v>
      </c>
      <c r="L12" s="4"/>
    </row>
    <row r="13" spans="2:12" ht="20" x14ac:dyDescent="0.4">
      <c r="B13" s="10"/>
      <c r="C13" s="23" t="s">
        <v>13</v>
      </c>
      <c r="D13" s="3"/>
      <c r="E13" s="3"/>
      <c r="F13" s="24">
        <v>1</v>
      </c>
      <c r="H13" s="14">
        <v>1</v>
      </c>
      <c r="I13" s="15">
        <v>5.5</v>
      </c>
      <c r="J13" s="16">
        <f>SUMIF($K$33:$K$84, "5.5", $J$33:$J$84)</f>
        <v>0</v>
      </c>
      <c r="L13" s="4"/>
    </row>
    <row r="14" spans="2:12" ht="20" x14ac:dyDescent="0.4">
      <c r="B14" s="9"/>
      <c r="C14" s="23" t="s">
        <v>14</v>
      </c>
      <c r="D14" s="3"/>
      <c r="E14" s="3"/>
      <c r="F14" s="25">
        <v>2500</v>
      </c>
      <c r="H14" s="14">
        <v>3</v>
      </c>
      <c r="I14" s="15">
        <v>4.5</v>
      </c>
      <c r="J14" s="16">
        <f>SUMIF($K$33:$K$84, "4.5", $J$33:$J$84)</f>
        <v>4535.9182462663639</v>
      </c>
      <c r="L14" s="4"/>
    </row>
    <row r="15" spans="2:12" ht="20" x14ac:dyDescent="0.4">
      <c r="B15" s="9"/>
      <c r="C15" s="23" t="s">
        <v>16</v>
      </c>
      <c r="D15" s="3"/>
      <c r="E15" s="3"/>
      <c r="F15" s="24">
        <v>7</v>
      </c>
      <c r="H15" s="14">
        <v>9</v>
      </c>
      <c r="I15" s="15">
        <v>3.5</v>
      </c>
      <c r="J15" s="16">
        <f>SUMIF($K$33:$K$84, "3.5", $J$33:$J$84)</f>
        <v>2666.0498334516228</v>
      </c>
      <c r="L15" s="4"/>
    </row>
    <row r="16" spans="2:12" ht="20.5" thickBot="1" x14ac:dyDescent="0.45">
      <c r="B16" s="5"/>
      <c r="C16" s="26" t="s">
        <v>21</v>
      </c>
      <c r="D16" s="27"/>
      <c r="E16" s="27"/>
      <c r="F16" s="28">
        <v>4.3</v>
      </c>
      <c r="H16" s="14">
        <v>15</v>
      </c>
      <c r="I16" s="15">
        <v>2.5</v>
      </c>
      <c r="J16" s="16">
        <f>SUMIF($K$33:$K$84, "2.5", $J$33:$J$84)</f>
        <v>1873.3989448491254</v>
      </c>
    </row>
    <row r="17" spans="1:12" ht="20.5" thickBot="1" x14ac:dyDescent="0.45">
      <c r="B17" s="5"/>
      <c r="C17" s="6"/>
      <c r="D17" s="6"/>
      <c r="E17" s="7"/>
      <c r="F17" s="7"/>
      <c r="G17" s="6"/>
      <c r="H17" s="14">
        <v>30</v>
      </c>
      <c r="I17" s="15" t="s">
        <v>3</v>
      </c>
      <c r="J17" s="16">
        <f>SUMIF($K$33:$K$84, "#4", $J$33:$J$84)</f>
        <v>1131.4083557468002</v>
      </c>
    </row>
    <row r="18" spans="1:12" ht="20.5" thickBot="1" x14ac:dyDescent="0.45">
      <c r="A18" s="8"/>
      <c r="B18" s="5"/>
      <c r="C18" s="47" t="s">
        <v>25</v>
      </c>
      <c r="D18" s="48"/>
      <c r="E18" s="48"/>
      <c r="F18" s="49"/>
      <c r="G18" s="6"/>
      <c r="H18" s="14">
        <v>100</v>
      </c>
      <c r="I18" s="15" t="s">
        <v>4</v>
      </c>
      <c r="J18" s="16">
        <f>SUMIF($K$33:$K$84, "#3", $J$33:$J$84)</f>
        <v>342.40532853977493</v>
      </c>
      <c r="L18" s="4"/>
    </row>
    <row r="19" spans="1:12" ht="20" x14ac:dyDescent="0.4">
      <c r="B19" s="5"/>
      <c r="C19" s="11" t="s">
        <v>32</v>
      </c>
      <c r="D19" s="12" t="s">
        <v>18</v>
      </c>
      <c r="E19" s="12" t="s">
        <v>19</v>
      </c>
      <c r="F19" s="13" t="s">
        <v>20</v>
      </c>
      <c r="H19" s="14">
        <v>250</v>
      </c>
      <c r="I19" s="15" t="s">
        <v>2</v>
      </c>
      <c r="J19" s="16">
        <f>SUMIF($K$33:$K$84, "#2", $J$33:$J$84)</f>
        <v>123.15360392872816</v>
      </c>
      <c r="K19" s="6"/>
      <c r="L19" s="4"/>
    </row>
    <row r="20" spans="1:12" ht="20" x14ac:dyDescent="0.4">
      <c r="B20" s="5"/>
      <c r="C20" s="14">
        <v>0</v>
      </c>
      <c r="D20" s="29">
        <v>1.25E-3</v>
      </c>
      <c r="E20" s="30">
        <v>0.9</v>
      </c>
      <c r="F20" s="24">
        <v>0.03</v>
      </c>
      <c r="H20" s="14">
        <v>800</v>
      </c>
      <c r="I20" s="15" t="s">
        <v>1</v>
      </c>
      <c r="J20" s="16">
        <f>SUMIF($K$33:$K$84, "#1", $J$33:$J$84)</f>
        <v>32.094440501792008</v>
      </c>
      <c r="K20" s="6"/>
      <c r="L20" s="4"/>
    </row>
    <row r="21" spans="1:12" ht="20.5" thickBot="1" x14ac:dyDescent="0.45">
      <c r="B21" s="5"/>
      <c r="C21" s="14">
        <v>1</v>
      </c>
      <c r="D21" s="29">
        <v>1.25E-3</v>
      </c>
      <c r="E21" s="30">
        <v>0.9</v>
      </c>
      <c r="F21" s="24">
        <v>2.5000000000000001E-2</v>
      </c>
      <c r="H21" s="17">
        <v>2000</v>
      </c>
      <c r="I21" s="18" t="s">
        <v>0</v>
      </c>
      <c r="J21" s="19">
        <f>SUMIF($K$33:$K$84, "Starter", $J$33:$J$84)</f>
        <v>9.4500000000000028</v>
      </c>
      <c r="K21" s="6"/>
      <c r="L21" s="4"/>
    </row>
    <row r="22" spans="1:12" ht="20" x14ac:dyDescent="0.4">
      <c r="B22" s="5"/>
      <c r="C22" s="14">
        <v>2</v>
      </c>
      <c r="D22" s="50">
        <v>2.5000000000000001E-5</v>
      </c>
      <c r="E22" s="51">
        <v>1.1000000000000001</v>
      </c>
      <c r="F22" s="24">
        <v>1.9E-2</v>
      </c>
      <c r="K22" s="6"/>
    </row>
    <row r="23" spans="1:12" ht="20" x14ac:dyDescent="0.4">
      <c r="B23" s="5"/>
      <c r="C23" s="14">
        <v>3</v>
      </c>
      <c r="D23" s="29">
        <v>3.0000000000000001E-5</v>
      </c>
      <c r="E23" s="51">
        <v>1.1000000000000001</v>
      </c>
      <c r="F23" s="24">
        <v>1.9E-2</v>
      </c>
      <c r="K23" s="6"/>
    </row>
    <row r="24" spans="1:12" ht="20" x14ac:dyDescent="0.4">
      <c r="B24" s="5"/>
      <c r="C24" s="14">
        <v>4</v>
      </c>
      <c r="D24" s="29">
        <v>3.4999999999999997E-5</v>
      </c>
      <c r="E24" s="30">
        <v>1.2</v>
      </c>
      <c r="F24" s="24">
        <v>1.6E-2</v>
      </c>
      <c r="K24" s="6"/>
    </row>
    <row r="25" spans="1:12" ht="20.5" thickBot="1" x14ac:dyDescent="0.45">
      <c r="B25" s="5"/>
      <c r="C25" s="17">
        <v>6</v>
      </c>
      <c r="D25" s="31">
        <v>4.0000000000000003E-5</v>
      </c>
      <c r="E25" s="32">
        <v>1.4</v>
      </c>
      <c r="F25" s="28">
        <v>1.6E-2</v>
      </c>
      <c r="K25" s="6"/>
    </row>
    <row r="26" spans="1:12" ht="20" customHeight="1" x14ac:dyDescent="0.4">
      <c r="B26" s="5"/>
      <c r="K26" s="6"/>
    </row>
    <row r="27" spans="1:12" ht="20" x14ac:dyDescent="0.4">
      <c r="B27" s="5"/>
      <c r="F27" s="7"/>
      <c r="G27" s="6"/>
      <c r="K27" s="6"/>
    </row>
    <row r="28" spans="1:12" ht="20" x14ac:dyDescent="0.4">
      <c r="B28" s="5"/>
      <c r="F28" s="7"/>
      <c r="G28" s="6"/>
      <c r="K28" s="6"/>
    </row>
    <row r="29" spans="1:12" ht="20" x14ac:dyDescent="0.4">
      <c r="B29" s="5"/>
      <c r="F29" s="7"/>
      <c r="G29" s="6"/>
      <c r="K29" s="6"/>
    </row>
    <row r="30" spans="1:12" ht="20" x14ac:dyDescent="0.4">
      <c r="B30" s="5"/>
      <c r="C30" s="6"/>
      <c r="D30" s="6"/>
      <c r="E30" s="7"/>
      <c r="F30" s="7"/>
      <c r="G30" s="6"/>
      <c r="K30" s="6"/>
    </row>
    <row r="31" spans="1:12" ht="20.5" thickBot="1" x14ac:dyDescent="0.45">
      <c r="B31" s="5"/>
      <c r="C31" s="6"/>
      <c r="D31" s="6"/>
      <c r="E31" s="7"/>
      <c r="F31" s="7"/>
      <c r="G31" s="6"/>
      <c r="H31" s="56"/>
      <c r="I31" s="57"/>
      <c r="J31" s="55"/>
      <c r="K31" s="6"/>
    </row>
    <row r="32" spans="1:12" ht="20.5" thickBot="1" x14ac:dyDescent="0.45">
      <c r="B32" s="43" t="s">
        <v>7</v>
      </c>
      <c r="C32" s="44" t="s">
        <v>31</v>
      </c>
      <c r="D32" s="44" t="s">
        <v>6</v>
      </c>
      <c r="E32" s="45" t="s">
        <v>27</v>
      </c>
      <c r="F32" s="45" t="s">
        <v>15</v>
      </c>
      <c r="G32" s="44" t="s">
        <v>8</v>
      </c>
      <c r="H32" s="44" t="s">
        <v>9</v>
      </c>
      <c r="I32" s="45" t="s">
        <v>10</v>
      </c>
      <c r="J32" s="45" t="s">
        <v>17</v>
      </c>
      <c r="K32" s="46" t="s">
        <v>11</v>
      </c>
    </row>
    <row r="33" spans="2:11" ht="20" x14ac:dyDescent="0.4">
      <c r="B33" s="36">
        <v>1</v>
      </c>
      <c r="C33" s="34">
        <f>F12</f>
        <v>50000</v>
      </c>
      <c r="D33" s="34">
        <f>((LOOKUP(G33,$C$20:$C$25,$D$20:$D$25))*C33)*(7)</f>
        <v>437.5</v>
      </c>
      <c r="E33" s="7">
        <f>F14</f>
        <v>2500</v>
      </c>
      <c r="F33" s="7">
        <f>F12/F14</f>
        <v>20</v>
      </c>
      <c r="G33" s="7">
        <f>F13</f>
        <v>1</v>
      </c>
      <c r="H33" s="35">
        <f>((LOOKUP(G33,$C$20:$C$25,$F$20:$F$25))*3*(LOOKUP(G33,$C$20:$C$25,$E$20:$E$25)))/G33</f>
        <v>6.7500000000000018E-2</v>
      </c>
      <c r="I33" s="7">
        <f>H33*F33</f>
        <v>1.3500000000000003</v>
      </c>
      <c r="J33" s="7">
        <f>I33*$F$15</f>
        <v>9.4500000000000028</v>
      </c>
      <c r="K33" s="37" t="str">
        <f>LOOKUP(E33,$H$13:$H$21,$I$13:$I$21)</f>
        <v>Starter</v>
      </c>
    </row>
    <row r="34" spans="2:11" ht="20" x14ac:dyDescent="0.4">
      <c r="B34" s="36">
        <v>2</v>
      </c>
      <c r="C34" s="34">
        <f t="shared" ref="C34:C65" si="0">C33-D33</f>
        <v>49562.5</v>
      </c>
      <c r="D34" s="34">
        <f t="shared" ref="D34:D65" si="1">((LOOKUP(G34,$C$20:$C$25,$D$20:$D$25))*C34)*($F$15)</f>
        <v>433.671875</v>
      </c>
      <c r="E34" s="7">
        <f>1/(($F$16/10000)*(G34^3))</f>
        <v>1433.5668329977516</v>
      </c>
      <c r="F34" s="7">
        <f>C34/E34</f>
        <v>34.57285622070313</v>
      </c>
      <c r="G34" s="7">
        <f>G33+($F$15*(LOOKUP(G33,$C$20:$C$25,$F$20:$F$25)))</f>
        <v>1.175</v>
      </c>
      <c r="H34" s="35">
        <f>((LOOKUP(G34,$C$20:$C$25,$F$20:$F$25))*3*(LOOKUP(G34,$C$20:$C$25,$E$20:$E$25)))/G34</f>
        <v>5.7446808510638311E-2</v>
      </c>
      <c r="I34" s="7">
        <f t="shared" ref="I34:I64" si="2">H34*F34</f>
        <v>1.9861002509765633</v>
      </c>
      <c r="J34" s="7">
        <f t="shared" ref="J34:J64" si="3">I34*$F$15</f>
        <v>13.902701756835944</v>
      </c>
      <c r="K34" s="37" t="str">
        <f t="shared" ref="K34:K64" si="4">LOOKUP(E34,$H$13:$H$21,$I$13:$I$21)</f>
        <v>#1</v>
      </c>
    </row>
    <row r="35" spans="2:11" ht="20" x14ac:dyDescent="0.4">
      <c r="B35" s="36">
        <v>3</v>
      </c>
      <c r="C35" s="34">
        <f t="shared" si="0"/>
        <v>49128.828125</v>
      </c>
      <c r="D35" s="34">
        <f t="shared" si="1"/>
        <v>429.87724609374999</v>
      </c>
      <c r="E35" s="7">
        <f>1/(($F$16/10000)*(G35^3))</f>
        <v>945.21420326122518</v>
      </c>
      <c r="F35" s="7">
        <f>C35/E35</f>
        <v>51.976396414160163</v>
      </c>
      <c r="G35" s="7">
        <f>G34+($F$15*(LOOKUP(G34,$C$20:$C$25,$F$20:$F$25)))</f>
        <v>1.35</v>
      </c>
      <c r="H35" s="35">
        <f>((LOOKUP(G35,$C$20:$C$25,$F$20:$F$25))*3*(LOOKUP(G35,$C$20:$C$25,$E$20:$E$25)))/G35</f>
        <v>5.000000000000001E-2</v>
      </c>
      <c r="I35" s="7">
        <f t="shared" si="2"/>
        <v>2.5988198207080089</v>
      </c>
      <c r="J35" s="7">
        <f t="shared" si="3"/>
        <v>18.191738744956062</v>
      </c>
      <c r="K35" s="37" t="str">
        <f t="shared" si="4"/>
        <v>#1</v>
      </c>
    </row>
    <row r="36" spans="2:11" ht="20" x14ac:dyDescent="0.4">
      <c r="B36" s="36">
        <v>4</v>
      </c>
      <c r="C36" s="34">
        <f t="shared" si="0"/>
        <v>48698.950878906253</v>
      </c>
      <c r="D36" s="34">
        <f t="shared" si="1"/>
        <v>426.1158201904297</v>
      </c>
      <c r="E36" s="7">
        <f>1/(($F$16/10000)*(G36^3))</f>
        <v>655.72541006659389</v>
      </c>
      <c r="F36" s="7">
        <f t="shared" ref="F36:F65" si="5">C36/E36</f>
        <v>74.267292575958749</v>
      </c>
      <c r="G36" s="7">
        <f>G35+($F$15*(LOOKUP(G35,$C$20:$C$25,$F$20:$F$25)))</f>
        <v>1.5250000000000001</v>
      </c>
      <c r="H36" s="35">
        <f>((LOOKUP(G36,$C$20:$C$25,$F$20:$F$25))*3*(LOOKUP(G36,$C$20:$C$25,$E$20:$E$25)))/G36</f>
        <v>4.4262295081967218E-2</v>
      </c>
      <c r="I36" s="7">
        <f t="shared" si="2"/>
        <v>3.2872408189358793</v>
      </c>
      <c r="J36" s="7">
        <f t="shared" si="3"/>
        <v>23.010685732551156</v>
      </c>
      <c r="K36" s="37" t="str">
        <f t="shared" si="4"/>
        <v>#2</v>
      </c>
    </row>
    <row r="37" spans="2:11" ht="20" x14ac:dyDescent="0.4">
      <c r="B37" s="36">
        <v>5</v>
      </c>
      <c r="C37" s="34">
        <f t="shared" si="0"/>
        <v>48272.83505871582</v>
      </c>
      <c r="D37" s="34">
        <f t="shared" si="1"/>
        <v>422.38730676376343</v>
      </c>
      <c r="E37" s="7">
        <f>1/(($F$16/10000)*(G37^3))</f>
        <v>473.35261456316641</v>
      </c>
      <c r="F37" s="7">
        <f t="shared" si="5"/>
        <v>101.98070861669248</v>
      </c>
      <c r="G37" s="7">
        <f>G36+($F$15*(LOOKUP(G36,$C$20:$C$25,$F$20:$F$25)))</f>
        <v>1.7000000000000002</v>
      </c>
      <c r="H37" s="35">
        <f>((LOOKUP(G37,$C$20:$C$25,$F$20:$F$25))*3*(LOOKUP(G37,$C$20:$C$25,$E$20:$E$25)))/G37</f>
        <v>3.9705882352941181E-2</v>
      </c>
      <c r="I37" s="7">
        <f t="shared" si="2"/>
        <v>4.0492340186039666</v>
      </c>
      <c r="J37" s="7">
        <f t="shared" si="3"/>
        <v>28.344638130227764</v>
      </c>
      <c r="K37" s="37" t="str">
        <f t="shared" si="4"/>
        <v>#2</v>
      </c>
    </row>
    <row r="38" spans="2:11" ht="20" x14ac:dyDescent="0.4">
      <c r="B38" s="36">
        <v>6</v>
      </c>
      <c r="C38" s="34">
        <f t="shared" si="0"/>
        <v>47850.447751952059</v>
      </c>
      <c r="D38" s="34">
        <f t="shared" si="1"/>
        <v>418.69141782958053</v>
      </c>
      <c r="E38" s="7">
        <f>1/(($F$16/10000)*(G38^3))</f>
        <v>352.79931093884568</v>
      </c>
      <c r="F38" s="7">
        <f t="shared" si="5"/>
        <v>135.63078574222746</v>
      </c>
      <c r="G38" s="7">
        <f>G37+($F$15*(LOOKUP(G37,$C$20:$C$25,$F$20:$F$25)))</f>
        <v>1.8750000000000002</v>
      </c>
      <c r="H38" s="35">
        <f>((LOOKUP(G38,$C$20:$C$25,$F$20:$F$25))*3*(LOOKUP(G38,$C$20:$C$25,$E$20:$E$25)))/G38</f>
        <v>3.6000000000000004E-2</v>
      </c>
      <c r="I38" s="7">
        <f t="shared" si="2"/>
        <v>4.882708286720189</v>
      </c>
      <c r="J38" s="7">
        <f t="shared" si="3"/>
        <v>34.178958007041324</v>
      </c>
      <c r="K38" s="37" t="str">
        <f t="shared" si="4"/>
        <v>#2</v>
      </c>
    </row>
    <row r="39" spans="2:11" ht="20" x14ac:dyDescent="0.4">
      <c r="B39" s="36">
        <v>7</v>
      </c>
      <c r="C39" s="34">
        <f t="shared" si="0"/>
        <v>47431.756334122481</v>
      </c>
      <c r="D39" s="34">
        <f t="shared" si="1"/>
        <v>8.3005573584714352</v>
      </c>
      <c r="E39" s="7">
        <f>1/(($F$16/10000)*(G39^3))</f>
        <v>269.94168922085703</v>
      </c>
      <c r="F39" s="7">
        <f t="shared" si="5"/>
        <v>175.71111920884309</v>
      </c>
      <c r="G39" s="7">
        <f>G38+($F$15*(LOOKUP(G38,$C$20:$C$25,$F$20:$F$25)))</f>
        <v>2.0500000000000003</v>
      </c>
      <c r="H39" s="35">
        <f>((LOOKUP(G39,$C$20:$C$25,$F$20:$F$25))*3*(LOOKUP(G39,$C$20:$C$25,$E$20:$E$25)))/G39</f>
        <v>3.0585365853658536E-2</v>
      </c>
      <c r="I39" s="7">
        <f t="shared" si="2"/>
        <v>5.3741888655582741</v>
      </c>
      <c r="J39" s="7">
        <f t="shared" si="3"/>
        <v>37.619322058907919</v>
      </c>
      <c r="K39" s="37" t="str">
        <f t="shared" si="4"/>
        <v>#2</v>
      </c>
    </row>
    <row r="40" spans="2:11" ht="20" x14ac:dyDescent="0.4">
      <c r="B40" s="36">
        <v>8</v>
      </c>
      <c r="C40" s="34">
        <f t="shared" si="0"/>
        <v>47423.455776764007</v>
      </c>
      <c r="D40" s="34">
        <f t="shared" si="1"/>
        <v>8.2991047609337016</v>
      </c>
      <c r="E40" s="7">
        <f>1/(($F$16/10000)*(G40^3))</f>
        <v>223.54776761698366</v>
      </c>
      <c r="F40" s="7">
        <f t="shared" si="5"/>
        <v>212.14014473191764</v>
      </c>
      <c r="G40" s="7">
        <f>G39+($F$15*(LOOKUP(G39,$C$20:$C$25,$F$20:$F$25)))</f>
        <v>2.1830000000000003</v>
      </c>
      <c r="H40" s="35">
        <f>((LOOKUP(G40,$C$20:$C$25,$F$20:$F$25))*3*(LOOKUP(G40,$C$20:$C$25,$E$20:$E$25)))/G40</f>
        <v>2.8721942281264314E-2</v>
      </c>
      <c r="I40" s="7">
        <f t="shared" si="2"/>
        <v>6.0930769925291965</v>
      </c>
      <c r="J40" s="7">
        <f t="shared" si="3"/>
        <v>42.651538947704374</v>
      </c>
      <c r="K40" s="37" t="str">
        <f t="shared" si="4"/>
        <v>#3</v>
      </c>
    </row>
    <row r="41" spans="2:11" ht="20" x14ac:dyDescent="0.4">
      <c r="B41" s="36">
        <v>9</v>
      </c>
      <c r="C41" s="34">
        <f t="shared" si="0"/>
        <v>47415.156672003075</v>
      </c>
      <c r="D41" s="34">
        <f t="shared" si="1"/>
        <v>8.2976524176005384</v>
      </c>
      <c r="E41" s="7">
        <f>1/(($F$16/10000)*(G41^3))</f>
        <v>187.2043255120663</v>
      </c>
      <c r="F41" s="7">
        <f t="shared" si="5"/>
        <v>253.28024094692682</v>
      </c>
      <c r="G41" s="7">
        <f>G40+($F$15*(LOOKUP(G40,$C$20:$C$25,$F$20:$F$25)))</f>
        <v>2.3160000000000003</v>
      </c>
      <c r="H41" s="35">
        <f>((LOOKUP(G41,$C$20:$C$25,$F$20:$F$25))*3*(LOOKUP(G41,$C$20:$C$25,$E$20:$E$25)))/G41</f>
        <v>2.7072538860103627E-2</v>
      </c>
      <c r="I41" s="7">
        <f t="shared" si="2"/>
        <v>6.8569391655320864</v>
      </c>
      <c r="J41" s="7">
        <f t="shared" si="3"/>
        <v>47.998574158724608</v>
      </c>
      <c r="K41" s="37" t="str">
        <f t="shared" si="4"/>
        <v>#3</v>
      </c>
    </row>
    <row r="42" spans="2:11" ht="20" x14ac:dyDescent="0.4">
      <c r="B42" s="36">
        <v>10</v>
      </c>
      <c r="C42" s="34">
        <f t="shared" si="0"/>
        <v>47406.859019585478</v>
      </c>
      <c r="D42" s="34">
        <f t="shared" si="1"/>
        <v>8.2962003284274584</v>
      </c>
      <c r="E42" s="7">
        <f>1/(($F$16/10000)*(G42^3))</f>
        <v>158.330720854893</v>
      </c>
      <c r="F42" s="7">
        <f t="shared" si="5"/>
        <v>299.41668151080381</v>
      </c>
      <c r="G42" s="7">
        <f>G41+($F$15*(LOOKUP(G41,$C$20:$C$25,$F$20:$F$25)))</f>
        <v>2.4490000000000003</v>
      </c>
      <c r="H42" s="35">
        <f>((LOOKUP(G42,$C$20:$C$25,$F$20:$F$25))*3*(LOOKUP(G42,$C$20:$C$25,$E$20:$E$25)))/G42</f>
        <v>2.5602286647611269E-2</v>
      </c>
      <c r="I42" s="7">
        <f t="shared" si="2"/>
        <v>7.6657517071161285</v>
      </c>
      <c r="J42" s="7">
        <f t="shared" si="3"/>
        <v>53.660261949812899</v>
      </c>
      <c r="K42" s="37" t="str">
        <f t="shared" si="4"/>
        <v>#3</v>
      </c>
    </row>
    <row r="43" spans="2:11" ht="20" x14ac:dyDescent="0.4">
      <c r="B43" s="36">
        <v>11</v>
      </c>
      <c r="C43" s="34">
        <f t="shared" si="0"/>
        <v>47398.562819257051</v>
      </c>
      <c r="D43" s="34">
        <f t="shared" si="1"/>
        <v>8.2947484933699851</v>
      </c>
      <c r="E43" s="7">
        <f>1/(($F$16/10000)*(G43^3))</f>
        <v>135.10232739276734</v>
      </c>
      <c r="F43" s="7">
        <f t="shared" si="5"/>
        <v>350.83453952248141</v>
      </c>
      <c r="G43" s="7">
        <f>G42+($F$15*(LOOKUP(G42,$C$20:$C$25,$F$20:$F$25)))</f>
        <v>2.5820000000000003</v>
      </c>
      <c r="H43" s="35">
        <f>((LOOKUP(G43,$C$20:$C$25,$F$20:$F$25))*3*(LOOKUP(G43,$C$20:$C$25,$E$20:$E$25)))/G43</f>
        <v>2.4283501161890007E-2</v>
      </c>
      <c r="I43" s="7">
        <f t="shared" si="2"/>
        <v>8.5194909481253234</v>
      </c>
      <c r="J43" s="7">
        <f t="shared" si="3"/>
        <v>59.636436636877264</v>
      </c>
      <c r="K43" s="37" t="str">
        <f t="shared" si="4"/>
        <v>#3</v>
      </c>
    </row>
    <row r="44" spans="2:11" ht="20" x14ac:dyDescent="0.4">
      <c r="B44" s="36">
        <v>12</v>
      </c>
      <c r="C44" s="34">
        <f t="shared" si="0"/>
        <v>47390.268070763683</v>
      </c>
      <c r="D44" s="34">
        <f t="shared" si="1"/>
        <v>8.293296912383644</v>
      </c>
      <c r="E44" s="7">
        <f>1/(($F$16/10000)*(G44^3))</f>
        <v>116.20425819229425</v>
      </c>
      <c r="F44" s="7">
        <f t="shared" si="5"/>
        <v>407.81868761076288</v>
      </c>
      <c r="G44" s="7">
        <f>G43+($F$15*(LOOKUP(G43,$C$20:$C$25,$F$20:$F$25)))</f>
        <v>2.7150000000000003</v>
      </c>
      <c r="H44" s="35">
        <f>((LOOKUP(G44,$C$20:$C$25,$F$20:$F$25))*3*(LOOKUP(G44,$C$20:$C$25,$E$20:$E$25)))/G44</f>
        <v>2.3093922651933701E-2</v>
      </c>
      <c r="I44" s="7">
        <f t="shared" si="2"/>
        <v>9.418133227696071</v>
      </c>
      <c r="J44" s="7">
        <f t="shared" si="3"/>
        <v>65.926932593872493</v>
      </c>
      <c r="K44" s="37" t="str">
        <f t="shared" si="4"/>
        <v>#3</v>
      </c>
    </row>
    <row r="45" spans="2:11" ht="20" x14ac:dyDescent="0.4">
      <c r="B45" s="36">
        <v>13</v>
      </c>
      <c r="C45" s="34">
        <f t="shared" si="0"/>
        <v>47381.974773851296</v>
      </c>
      <c r="D45" s="34">
        <f t="shared" si="1"/>
        <v>8.2918455854239781</v>
      </c>
      <c r="E45" s="7">
        <f>1/(($F$16/10000)*(G45^3))</f>
        <v>100.67267059772081</v>
      </c>
      <c r="F45" s="7">
        <f t="shared" si="5"/>
        <v>470.6537980221616</v>
      </c>
      <c r="G45" s="7">
        <f>G44+($F$15*(LOOKUP(G44,$C$20:$C$25,$F$20:$F$25)))</f>
        <v>2.8480000000000003</v>
      </c>
      <c r="H45" s="35">
        <f>((LOOKUP(G45,$C$20:$C$25,$F$20:$F$25))*3*(LOOKUP(G45,$C$20:$C$25,$E$20:$E$25)))/G45</f>
        <v>2.2015449438202248E-2</v>
      </c>
      <c r="I45" s="7">
        <f t="shared" si="2"/>
        <v>10.361654893254752</v>
      </c>
      <c r="J45" s="7">
        <f t="shared" si="3"/>
        <v>72.531584252783261</v>
      </c>
      <c r="K45" s="37" t="str">
        <f t="shared" si="4"/>
        <v>#3</v>
      </c>
    </row>
    <row r="46" spans="2:11" ht="20" x14ac:dyDescent="0.4">
      <c r="B46" s="36">
        <v>14</v>
      </c>
      <c r="C46" s="34">
        <f t="shared" si="0"/>
        <v>47373.682928265873</v>
      </c>
      <c r="D46" s="34">
        <f t="shared" si="1"/>
        <v>8.2903945124465288</v>
      </c>
      <c r="E46" s="7">
        <f>1/(($F$16/10000)*(G46^3))</f>
        <v>87.790114675827809</v>
      </c>
      <c r="F46" s="7">
        <f t="shared" si="5"/>
        <v>539.62434270871017</v>
      </c>
      <c r="G46" s="7">
        <f>G45+($F$15*(LOOKUP(G45,$C$20:$C$25,$F$20:$F$25)))</f>
        <v>2.9810000000000003</v>
      </c>
      <c r="H46" s="35">
        <f>((LOOKUP(G46,$C$20:$C$25,$F$20:$F$25))*3*(LOOKUP(G46,$C$20:$C$25,$E$20:$E$25)))/G46</f>
        <v>2.1033210332103321E-2</v>
      </c>
      <c r="I46" s="7">
        <f t="shared" si="2"/>
        <v>11.350032300515306</v>
      </c>
      <c r="J46" s="7">
        <f t="shared" si="3"/>
        <v>79.450226103607136</v>
      </c>
      <c r="K46" s="37" t="str">
        <f t="shared" si="4"/>
        <v>#4</v>
      </c>
    </row>
    <row r="47" spans="2:11" ht="20" x14ac:dyDescent="0.4">
      <c r="B47" s="36">
        <v>15</v>
      </c>
      <c r="C47" s="34">
        <f t="shared" si="0"/>
        <v>47365.392533753424</v>
      </c>
      <c r="D47" s="34">
        <f t="shared" si="1"/>
        <v>9.9467324320882184</v>
      </c>
      <c r="E47" s="7">
        <f>1/(($F$16/10000)*(G47^3))</f>
        <v>77.015070928138655</v>
      </c>
      <c r="F47" s="7">
        <f t="shared" si="5"/>
        <v>615.01459341573809</v>
      </c>
      <c r="G47" s="7">
        <f>G46+($F$15*(LOOKUP(G46,$C$20:$C$25,$F$20:$F$25)))</f>
        <v>3.1140000000000003</v>
      </c>
      <c r="H47" s="35">
        <f>((LOOKUP(G47,$C$20:$C$25,$F$20:$F$25))*3*(LOOKUP(G47,$C$20:$C$25,$E$20:$E$25)))/G47</f>
        <v>2.0134874759152214E-2</v>
      </c>
      <c r="I47" s="7">
        <f t="shared" si="2"/>
        <v>12.383241813476806</v>
      </c>
      <c r="J47" s="7">
        <f t="shared" si="3"/>
        <v>86.682692694337646</v>
      </c>
      <c r="K47" s="37" t="str">
        <f t="shared" si="4"/>
        <v>#4</v>
      </c>
    </row>
    <row r="48" spans="2:11" ht="20" x14ac:dyDescent="0.4">
      <c r="B48" s="36">
        <v>16</v>
      </c>
      <c r="C48" s="34">
        <f t="shared" si="0"/>
        <v>47355.445801321337</v>
      </c>
      <c r="D48" s="34">
        <f t="shared" si="1"/>
        <v>9.9446436182774818</v>
      </c>
      <c r="E48" s="7">
        <f>1/(($F$16/10000)*(G48^3))</f>
        <v>67.933607634694496</v>
      </c>
      <c r="F48" s="7">
        <f t="shared" si="5"/>
        <v>697.08421869732047</v>
      </c>
      <c r="G48" s="7">
        <f>G47+($F$15*(LOOKUP(G47,$C$20:$C$25,$F$20:$F$25)))</f>
        <v>3.2470000000000003</v>
      </c>
      <c r="H48" s="35">
        <f>((LOOKUP(G48,$C$20:$C$25,$F$20:$F$25))*3*(LOOKUP(G48,$C$20:$C$25,$E$20:$E$25)))/G48</f>
        <v>1.9310132429935324E-2</v>
      </c>
      <c r="I48" s="7">
        <f t="shared" si="2"/>
        <v>13.460788577863255</v>
      </c>
      <c r="J48" s="7">
        <f t="shared" si="3"/>
        <v>94.225520045042785</v>
      </c>
      <c r="K48" s="37" t="str">
        <f t="shared" si="4"/>
        <v>#4</v>
      </c>
    </row>
    <row r="49" spans="2:11" ht="20" x14ac:dyDescent="0.4">
      <c r="B49" s="36">
        <v>17</v>
      </c>
      <c r="C49" s="34">
        <f t="shared" si="0"/>
        <v>47345.50115770306</v>
      </c>
      <c r="D49" s="34">
        <f t="shared" si="1"/>
        <v>9.9425552431176438</v>
      </c>
      <c r="E49" s="7">
        <f>1/(($F$16/10000)*(G49^3))</f>
        <v>60.225642742152125</v>
      </c>
      <c r="F49" s="7">
        <f t="shared" si="5"/>
        <v>786.13525737544001</v>
      </c>
      <c r="G49" s="7">
        <f>G48+($F$15*(LOOKUP(G48,$C$20:$C$25,$F$20:$F$25)))</f>
        <v>3.3800000000000003</v>
      </c>
      <c r="H49" s="35">
        <f>((LOOKUP(G49,$C$20:$C$25,$F$20:$F$25))*3*(LOOKUP(G49,$C$20:$C$25,$E$20:$E$25)))/G49</f>
        <v>1.8550295857988165E-2</v>
      </c>
      <c r="I49" s="7">
        <f t="shared" si="2"/>
        <v>14.583041608710085</v>
      </c>
      <c r="J49" s="7">
        <f t="shared" si="3"/>
        <v>102.08129126097059</v>
      </c>
      <c r="K49" s="37" t="str">
        <f t="shared" si="4"/>
        <v>#4</v>
      </c>
    </row>
    <row r="50" spans="2:11" ht="20" x14ac:dyDescent="0.4">
      <c r="B50" s="36">
        <v>18</v>
      </c>
      <c r="C50" s="34">
        <f t="shared" si="0"/>
        <v>47335.55860245994</v>
      </c>
      <c r="D50" s="34">
        <f t="shared" si="1"/>
        <v>9.9404673065165881</v>
      </c>
      <c r="E50" s="7">
        <f>1/(($F$16/10000)*(G50^3))</f>
        <v>53.641028342947166</v>
      </c>
      <c r="F50" s="7">
        <f t="shared" si="5"/>
        <v>882.45061783353594</v>
      </c>
      <c r="G50" s="7">
        <f>G49+($F$15*(LOOKUP(G49,$C$20:$C$25,$F$20:$F$25)))</f>
        <v>3.5130000000000003</v>
      </c>
      <c r="H50" s="35">
        <f>((LOOKUP(G50,$C$20:$C$25,$F$20:$F$25))*3*(LOOKUP(G50,$C$20:$C$25,$E$20:$E$25)))/G50</f>
        <v>1.7847993168232278E-2</v>
      </c>
      <c r="I50" s="7">
        <f t="shared" si="2"/>
        <v>15.749972598395303</v>
      </c>
      <c r="J50" s="7">
        <f t="shared" si="3"/>
        <v>110.24980818876712</v>
      </c>
      <c r="K50" s="37" t="str">
        <f t="shared" si="4"/>
        <v>#4</v>
      </c>
    </row>
    <row r="51" spans="2:11" ht="20" x14ac:dyDescent="0.4">
      <c r="B51" s="36">
        <v>19</v>
      </c>
      <c r="C51" s="34">
        <f t="shared" si="0"/>
        <v>47325.618135153425</v>
      </c>
      <c r="D51" s="34">
        <f t="shared" si="1"/>
        <v>9.9383798083822192</v>
      </c>
      <c r="E51" s="7">
        <f>1/(($F$16/10000)*(G51^3))</f>
        <v>47.982354105081214</v>
      </c>
      <c r="F51" s="7">
        <f t="shared" si="5"/>
        <v>986.31296896168249</v>
      </c>
      <c r="G51" s="7">
        <f>G50+($F$15*(LOOKUP(G50,$C$20:$C$25,$F$20:$F$25)))</f>
        <v>3.6460000000000004</v>
      </c>
      <c r="H51" s="35">
        <f>((LOOKUP(G51,$C$20:$C$25,$F$20:$F$25))*3*(LOOKUP(G51,$C$20:$C$25,$E$20:$E$25)))/G51</f>
        <v>1.7196928140427867E-2</v>
      </c>
      <c r="I51" s="7">
        <f t="shared" si="2"/>
        <v>16.961553251206116</v>
      </c>
      <c r="J51" s="7">
        <f t="shared" si="3"/>
        <v>118.73087275844281</v>
      </c>
      <c r="K51" s="37" t="str">
        <f t="shared" si="4"/>
        <v>#4</v>
      </c>
    </row>
    <row r="52" spans="2:11" ht="20" x14ac:dyDescent="0.4">
      <c r="B52" s="36">
        <v>20</v>
      </c>
      <c r="C52" s="34">
        <f t="shared" si="0"/>
        <v>47315.679755345045</v>
      </c>
      <c r="D52" s="34">
        <f t="shared" si="1"/>
        <v>9.9362927486224599</v>
      </c>
      <c r="E52" s="7">
        <f>1/(($F$16/10000)*(G52^3))</f>
        <v>43.092418474591604</v>
      </c>
      <c r="F52" s="7">
        <f t="shared" si="5"/>
        <v>1098.0047402826458</v>
      </c>
      <c r="G52" s="7">
        <f>G51+($F$15*(LOOKUP(G51,$C$20:$C$25,$F$20:$F$25)))</f>
        <v>3.7790000000000004</v>
      </c>
      <c r="H52" s="35">
        <f>((LOOKUP(G52,$C$20:$C$25,$F$20:$F$25))*3*(LOOKUP(G52,$C$20:$C$25,$E$20:$E$25)))/G52</f>
        <v>1.6591690923524742E-2</v>
      </c>
      <c r="I52" s="7">
        <f t="shared" si="2"/>
        <v>18.217755283334714</v>
      </c>
      <c r="J52" s="7">
        <f t="shared" si="3"/>
        <v>127.524286983343</v>
      </c>
      <c r="K52" s="37" t="str">
        <f t="shared" si="4"/>
        <v>#4</v>
      </c>
    </row>
    <row r="53" spans="2:11" ht="20" x14ac:dyDescent="0.4">
      <c r="B53" s="36">
        <v>21</v>
      </c>
      <c r="C53" s="34">
        <f t="shared" si="0"/>
        <v>47305.743462596423</v>
      </c>
      <c r="D53" s="34">
        <f t="shared" si="1"/>
        <v>9.9342061271452486</v>
      </c>
      <c r="E53" s="7">
        <f>1/(($F$16/10000)*(G53^3))</f>
        <v>38.844989292632391</v>
      </c>
      <c r="F53" s="7">
        <f t="shared" si="5"/>
        <v>1217.8081220778906</v>
      </c>
      <c r="G53" s="7">
        <f>G52+($F$15*(LOOKUP(G52,$C$20:$C$25,$F$20:$F$25)))</f>
        <v>3.9120000000000004</v>
      </c>
      <c r="H53" s="35">
        <f>((LOOKUP(G53,$C$20:$C$25,$F$20:$F$25))*3*(LOOKUP(G53,$C$20:$C$25,$E$20:$E$25)))/G53</f>
        <v>1.6027607361963191E-2</v>
      </c>
      <c r="I53" s="7">
        <f t="shared" si="2"/>
        <v>19.518550422874167</v>
      </c>
      <c r="J53" s="7">
        <f t="shared" si="3"/>
        <v>136.62985296011917</v>
      </c>
      <c r="K53" s="37" t="str">
        <f t="shared" si="4"/>
        <v>#4</v>
      </c>
    </row>
    <row r="54" spans="2:11" ht="20" x14ac:dyDescent="0.4">
      <c r="B54" s="36">
        <v>22</v>
      </c>
      <c r="C54" s="34">
        <f t="shared" si="0"/>
        <v>47295.809256469278</v>
      </c>
      <c r="D54" s="34">
        <f t="shared" si="1"/>
        <v>11.587473267834973</v>
      </c>
      <c r="E54" s="7">
        <f>1/(($F$16/10000)*(G54^3))</f>
        <v>35.137913272581123</v>
      </c>
      <c r="F54" s="7">
        <f t="shared" si="5"/>
        <v>1346.0050655135296</v>
      </c>
      <c r="G54" s="7">
        <f>G53+($F$15*(LOOKUP(G53,$C$20:$C$25,$F$20:$F$25)))</f>
        <v>4.0449999999999999</v>
      </c>
      <c r="H54" s="35">
        <f>((LOOKUP(G54,$C$20:$C$25,$F$20:$F$25))*3*(LOOKUP(G54,$C$20:$C$25,$E$20:$E$25)))/G54</f>
        <v>1.4239802224969098E-2</v>
      </c>
      <c r="I54" s="7">
        <f t="shared" si="2"/>
        <v>19.166845926719237</v>
      </c>
      <c r="J54" s="7">
        <f t="shared" si="3"/>
        <v>134.16792148703465</v>
      </c>
      <c r="K54" s="37" t="str">
        <f t="shared" si="4"/>
        <v>#4</v>
      </c>
    </row>
    <row r="55" spans="2:11" ht="20" x14ac:dyDescent="0.4">
      <c r="B55" s="36">
        <v>23</v>
      </c>
      <c r="C55" s="34">
        <f t="shared" si="0"/>
        <v>47284.221783201443</v>
      </c>
      <c r="D55" s="34">
        <f t="shared" si="1"/>
        <v>11.584634336884353</v>
      </c>
      <c r="E55" s="7">
        <f>1/(($F$16/10000)*(G55^3))</f>
        <v>32.373635372182655</v>
      </c>
      <c r="F55" s="7">
        <f t="shared" si="5"/>
        <v>1460.578067294563</v>
      </c>
      <c r="G55" s="7">
        <f>G54+($F$15*(LOOKUP(G54,$C$20:$C$25,$F$20:$F$25)))</f>
        <v>4.157</v>
      </c>
      <c r="H55" s="35">
        <f>((LOOKUP(G55,$C$20:$C$25,$F$20:$F$25))*3*(LOOKUP(G55,$C$20:$C$25,$E$20:$E$25)))/G55</f>
        <v>1.3856146259321626E-2</v>
      </c>
      <c r="I55" s="7">
        <f t="shared" si="2"/>
        <v>20.237983323590768</v>
      </c>
      <c r="J55" s="7">
        <f t="shared" si="3"/>
        <v>141.66588326513539</v>
      </c>
      <c r="K55" s="37" t="str">
        <f t="shared" si="4"/>
        <v>#4</v>
      </c>
    </row>
    <row r="56" spans="2:11" ht="20" x14ac:dyDescent="0.4">
      <c r="B56" s="36">
        <v>24</v>
      </c>
      <c r="C56" s="34">
        <f t="shared" si="0"/>
        <v>47272.63714886456</v>
      </c>
      <c r="D56" s="34">
        <f t="shared" si="1"/>
        <v>11.581796101471816</v>
      </c>
      <c r="E56" s="7">
        <f>1/(($F$16/10000)*(G56^3))</f>
        <v>29.891869667611381</v>
      </c>
      <c r="F56" s="7">
        <f t="shared" si="5"/>
        <v>1581.454678965287</v>
      </c>
      <c r="G56" s="7">
        <f>G55+($F$15*(LOOKUP(G55,$C$20:$C$25,$F$20:$F$25)))</f>
        <v>4.2690000000000001</v>
      </c>
      <c r="H56" s="35">
        <f>((LOOKUP(G56,$C$20:$C$25,$F$20:$F$25))*3*(LOOKUP(G56,$C$20:$C$25,$E$20:$E$25)))/G56</f>
        <v>1.3492621222768798E-2</v>
      </c>
      <c r="I56" s="7">
        <f t="shared" si="2"/>
        <v>21.337968964254049</v>
      </c>
      <c r="J56" s="7">
        <f t="shared" si="3"/>
        <v>149.36578274977833</v>
      </c>
      <c r="K56" s="37">
        <f t="shared" si="4"/>
        <v>2.5</v>
      </c>
    </row>
    <row r="57" spans="2:11" ht="20" x14ac:dyDescent="0.4">
      <c r="B57" s="36">
        <v>25</v>
      </c>
      <c r="C57" s="34">
        <f t="shared" si="0"/>
        <v>47261.055352763091</v>
      </c>
      <c r="D57" s="34">
        <f t="shared" si="1"/>
        <v>11.578958561426957</v>
      </c>
      <c r="E57" s="7">
        <f>1/(($F$16/10000)*(G57^3))</f>
        <v>27.657427644049168</v>
      </c>
      <c r="F57" s="7">
        <f t="shared" si="5"/>
        <v>1708.8015545412402</v>
      </c>
      <c r="G57" s="7">
        <f>G56+($F$15*(LOOKUP(G56,$C$20:$C$25,$F$20:$F$25)))</f>
        <v>4.3810000000000002</v>
      </c>
      <c r="H57" s="35">
        <f>((LOOKUP(G57,$C$20:$C$25,$F$20:$F$25))*3*(LOOKUP(G57,$C$20:$C$25,$E$20:$E$25)))/G57</f>
        <v>1.3147683177356767E-2</v>
      </c>
      <c r="I57" s="7">
        <f t="shared" si="2"/>
        <v>22.466781452082955</v>
      </c>
      <c r="J57" s="7">
        <f t="shared" si="3"/>
        <v>157.26747016458069</v>
      </c>
      <c r="K57" s="37">
        <f t="shared" si="4"/>
        <v>2.5</v>
      </c>
    </row>
    <row r="58" spans="2:11" ht="20" x14ac:dyDescent="0.4">
      <c r="B58" s="36">
        <v>26</v>
      </c>
      <c r="C58" s="34">
        <f t="shared" si="0"/>
        <v>47249.476394201665</v>
      </c>
      <c r="D58" s="34">
        <f t="shared" si="1"/>
        <v>11.576121716579408</v>
      </c>
      <c r="E58" s="7">
        <f>1/(($F$16/10000)*(G58^3))</f>
        <v>25.640251964495697</v>
      </c>
      <c r="F58" s="7">
        <f t="shared" si="5"/>
        <v>1842.785182440035</v>
      </c>
      <c r="G58" s="7">
        <f>G57+($F$15*(LOOKUP(G57,$C$20:$C$25,$F$20:$F$25)))</f>
        <v>4.4930000000000003</v>
      </c>
      <c r="H58" s="35">
        <f>((LOOKUP(G58,$C$20:$C$25,$F$20:$F$25))*3*(LOOKUP(G58,$C$20:$C$25,$E$20:$E$25)))/G58</f>
        <v>1.2819942132205652E-2</v>
      </c>
      <c r="I58" s="7">
        <f t="shared" si="2"/>
        <v>23.624399400967285</v>
      </c>
      <c r="J58" s="7">
        <f t="shared" si="3"/>
        <v>165.37079580677099</v>
      </c>
      <c r="K58" s="37">
        <f t="shared" si="4"/>
        <v>2.5</v>
      </c>
    </row>
    <row r="59" spans="2:11" ht="20" x14ac:dyDescent="0.4">
      <c r="B59" s="36">
        <v>27</v>
      </c>
      <c r="C59" s="34">
        <f t="shared" si="0"/>
        <v>47237.900272485087</v>
      </c>
      <c r="D59" s="34">
        <f t="shared" si="1"/>
        <v>11.573285566758845</v>
      </c>
      <c r="E59" s="7">
        <f>1/(($F$16/10000)*(G59^3))</f>
        <v>23.814564330041986</v>
      </c>
      <c r="F59" s="7">
        <f t="shared" si="5"/>
        <v>1983.5718855832542</v>
      </c>
      <c r="G59" s="7">
        <f>G58+($F$15*(LOOKUP(G58,$C$20:$C$25,$F$20:$F$25)))</f>
        <v>4.6050000000000004</v>
      </c>
      <c r="H59" s="35">
        <f>((LOOKUP(G59,$C$20:$C$25,$F$20:$F$25))*3*(LOOKUP(G59,$C$20:$C$25,$E$20:$E$25)))/G59</f>
        <v>1.2508143322475568E-2</v>
      </c>
      <c r="I59" s="7">
        <f t="shared" si="2"/>
        <v>24.810801435308452</v>
      </c>
      <c r="J59" s="7">
        <f t="shared" si="3"/>
        <v>173.67561004715915</v>
      </c>
      <c r="K59" s="37">
        <f t="shared" si="4"/>
        <v>2.5</v>
      </c>
    </row>
    <row r="60" spans="2:11" ht="20" x14ac:dyDescent="0.4">
      <c r="B60" s="36">
        <v>28</v>
      </c>
      <c r="C60" s="34">
        <f t="shared" si="0"/>
        <v>47226.326986918328</v>
      </c>
      <c r="D60" s="34">
        <f t="shared" si="1"/>
        <v>11.57045011179499</v>
      </c>
      <c r="E60" s="7">
        <f>1/(($F$16/10000)*(G60^3))</f>
        <v>22.158171310183</v>
      </c>
      <c r="F60" s="7">
        <f t="shared" si="5"/>
        <v>2131.3278214982938</v>
      </c>
      <c r="G60" s="7">
        <f>G59+($F$15*(LOOKUP(G59,$C$20:$C$25,$F$20:$F$25)))</f>
        <v>4.7170000000000005</v>
      </c>
      <c r="H60" s="35">
        <f>((LOOKUP(G60,$C$20:$C$25,$F$20:$F$25))*3*(LOOKUP(G60,$C$20:$C$25,$E$20:$E$25)))/G60</f>
        <v>1.2211151155395377E-2</v>
      </c>
      <c r="I60" s="7">
        <f t="shared" si="2"/>
        <v>26.025966190015204</v>
      </c>
      <c r="J60" s="7">
        <f t="shared" si="3"/>
        <v>182.18176333010643</v>
      </c>
      <c r="K60" s="37">
        <f t="shared" si="4"/>
        <v>2.5</v>
      </c>
    </row>
    <row r="61" spans="2:11" ht="20" x14ac:dyDescent="0.4">
      <c r="B61" s="36">
        <v>29</v>
      </c>
      <c r="C61" s="34">
        <f t="shared" si="0"/>
        <v>47214.756536806533</v>
      </c>
      <c r="D61" s="34">
        <f t="shared" si="1"/>
        <v>11.567615351517599</v>
      </c>
      <c r="E61" s="7">
        <f>1/(($F$16/10000)*(G61^3))</f>
        <v>20.65189594691655</v>
      </c>
      <c r="F61" s="7">
        <f t="shared" si="5"/>
        <v>2286.2189824201578</v>
      </c>
      <c r="G61" s="7">
        <f>G60+($F$15*(LOOKUP(G60,$C$20:$C$25,$F$20:$F$25)))</f>
        <v>4.8290000000000006</v>
      </c>
      <c r="H61" s="35">
        <f>((LOOKUP(G61,$C$20:$C$25,$F$20:$F$25))*3*(LOOKUP(G61,$C$20:$C$25,$E$20:$E$25)))/G61</f>
        <v>1.1927935390349967E-2</v>
      </c>
      <c r="I61" s="7">
        <f t="shared" si="2"/>
        <v>27.269872310499288</v>
      </c>
      <c r="J61" s="7">
        <f t="shared" si="3"/>
        <v>190.88910617349501</v>
      </c>
      <c r="K61" s="37">
        <f t="shared" si="4"/>
        <v>2.5</v>
      </c>
    </row>
    <row r="62" spans="2:11" ht="20" x14ac:dyDescent="0.4">
      <c r="B62" s="36">
        <v>30</v>
      </c>
      <c r="C62" s="34">
        <f t="shared" si="0"/>
        <v>47203.188921455017</v>
      </c>
      <c r="D62" s="34">
        <f t="shared" si="1"/>
        <v>11.564781285756478</v>
      </c>
      <c r="E62" s="7">
        <f>1/(($F$16/10000)*(G62^3))</f>
        <v>19.2791100654457</v>
      </c>
      <c r="F62" s="7">
        <f t="shared" si="5"/>
        <v>2448.411195393202</v>
      </c>
      <c r="G62" s="7">
        <f>G61+($F$15*(LOOKUP(G61,$C$20:$C$25,$F$20:$F$25)))</f>
        <v>4.9410000000000007</v>
      </c>
      <c r="H62" s="35">
        <f>((LOOKUP(G62,$C$20:$C$25,$F$20:$F$25))*3*(LOOKUP(G62,$C$20:$C$25,$E$20:$E$25)))/G62</f>
        <v>1.1657559198542803E-2</v>
      </c>
      <c r="I62" s="7">
        <f t="shared" si="2"/>
        <v>28.542498452671204</v>
      </c>
      <c r="J62" s="7">
        <f t="shared" si="3"/>
        <v>199.79748916869843</v>
      </c>
      <c r="K62" s="37">
        <f t="shared" si="4"/>
        <v>2.5</v>
      </c>
    </row>
    <row r="63" spans="2:11" ht="20" x14ac:dyDescent="0.4">
      <c r="B63" s="36">
        <v>31</v>
      </c>
      <c r="C63" s="34">
        <f t="shared" si="0"/>
        <v>47191.62414016926</v>
      </c>
      <c r="D63" s="34">
        <f t="shared" si="1"/>
        <v>11.561947914341468</v>
      </c>
      <c r="E63" s="7">
        <f>1/(($F$16/10000)*(G63^3))</f>
        <v>18.025347654706124</v>
      </c>
      <c r="F63" s="7">
        <f t="shared" si="5"/>
        <v>2618.0701223728297</v>
      </c>
      <c r="G63" s="7">
        <f>G62+($F$15*(LOOKUP(G62,$C$20:$C$25,$F$20:$F$25)))</f>
        <v>5.0530000000000008</v>
      </c>
      <c r="H63" s="35">
        <f>((LOOKUP(G63,$C$20:$C$25,$F$20:$F$25))*3*(LOOKUP(G63,$C$20:$C$25,$E$20:$E$25)))/G63</f>
        <v>1.1399168810607558E-2</v>
      </c>
      <c r="I63" s="7">
        <f t="shared" si="2"/>
        <v>29.843823282935872</v>
      </c>
      <c r="J63" s="7">
        <f t="shared" si="3"/>
        <v>208.90676298055109</v>
      </c>
      <c r="K63" s="37">
        <f t="shared" si="4"/>
        <v>2.5</v>
      </c>
    </row>
    <row r="64" spans="2:11" ht="20" x14ac:dyDescent="0.4">
      <c r="B64" s="36">
        <v>32</v>
      </c>
      <c r="C64" s="34">
        <f t="shared" si="0"/>
        <v>47180.062192254918</v>
      </c>
      <c r="D64" s="34">
        <f t="shared" si="1"/>
        <v>11.559115237102453</v>
      </c>
      <c r="E64" s="7">
        <f>1/(($F$16/10000)*(G64^3))</f>
        <v>16.877983844826396</v>
      </c>
      <c r="F64" s="7">
        <f t="shared" si="5"/>
        <v>2795.361260327134</v>
      </c>
      <c r="G64" s="7">
        <f>G63+($F$15*(LOOKUP(G63,$C$20:$C$25,$F$20:$F$25)))</f>
        <v>5.1650000000000009</v>
      </c>
      <c r="H64" s="35">
        <f>((LOOKUP(G64,$C$20:$C$25,$F$20:$F$25))*3*(LOOKUP(G64,$C$20:$C$25,$E$20:$E$25)))/G64</f>
        <v>1.1151984511132621E-2</v>
      </c>
      <c r="I64" s="7">
        <f t="shared" si="2"/>
        <v>31.173825478188359</v>
      </c>
      <c r="J64" s="7">
        <f t="shared" si="3"/>
        <v>218.21677834731852</v>
      </c>
      <c r="K64" s="37">
        <f t="shared" si="4"/>
        <v>2.5</v>
      </c>
    </row>
    <row r="65" spans="2:11" ht="20" x14ac:dyDescent="0.4">
      <c r="B65" s="36">
        <v>33</v>
      </c>
      <c r="C65" s="34">
        <f t="shared" si="0"/>
        <v>47168.503077017813</v>
      </c>
      <c r="D65" s="34">
        <f t="shared" si="1"/>
        <v>11.556283253869363</v>
      </c>
      <c r="E65" s="7">
        <f>1/(($F$16/10000)*(G65^3))</f>
        <v>15.82596722152457</v>
      </c>
      <c r="F65" s="7">
        <f t="shared" si="5"/>
        <v>2980.4499413384929</v>
      </c>
      <c r="G65" s="7">
        <f>G64+($F$15*(LOOKUP(G64,$C$20:$C$25,$F$20:$F$25)))</f>
        <v>5.277000000000001</v>
      </c>
      <c r="H65" s="35">
        <f t="shared" ref="H65:H84" si="6">((LOOKUP(G65,$C$20:$C$25,$F$20:$F$25))*3*(LOOKUP(G65,$C$20:$C$25,$E$20:$E$25)))/G65</f>
        <v>1.0915292779988628E-2</v>
      </c>
      <c r="I65" s="7">
        <f t="shared" ref="I65:I84" si="7">H65*F65</f>
        <v>32.532483725809577</v>
      </c>
      <c r="J65" s="7">
        <f t="shared" ref="J65:J84" si="8">I65*$F$15</f>
        <v>227.72738608066703</v>
      </c>
      <c r="K65" s="37">
        <f t="shared" ref="K65:K84" si="9">LOOKUP(E65,$H$13:$H$21,$I$13:$I$21)</f>
        <v>2.5</v>
      </c>
    </row>
    <row r="66" spans="2:11" ht="20" x14ac:dyDescent="0.4">
      <c r="B66" s="36">
        <v>34</v>
      </c>
      <c r="C66" s="34">
        <f t="shared" ref="C66:C84" si="10">C65-D65</f>
        <v>47156.946793763942</v>
      </c>
      <c r="D66" s="34">
        <f t="shared" ref="D66:D84" si="11">((LOOKUP(G66,$C$20:$C$25,$D$20:$D$25))*C66)*($F$15)</f>
        <v>11.553451964472165</v>
      </c>
      <c r="E66" s="7">
        <f t="shared" ref="E66:E84" si="12">1/(($F$16/10000)*(G66^3))</f>
        <v>14.859595711455722</v>
      </c>
      <c r="F66" s="7">
        <f t="shared" ref="F66:F84" si="13">C66/E66</f>
        <v>3173.5013327051147</v>
      </c>
      <c r="G66" s="7">
        <f t="shared" ref="G66:G84" si="14">G65+($F$15*(LOOKUP(G65,$C$20:$C$25,$F$20:$F$25)))</f>
        <v>5.3890000000000011</v>
      </c>
      <c r="H66" s="35">
        <f t="shared" si="6"/>
        <v>1.0688439413620335E-2</v>
      </c>
      <c r="I66" s="7">
        <f t="shared" si="7"/>
        <v>33.919776723662011</v>
      </c>
      <c r="J66" s="7">
        <f t="shared" si="8"/>
        <v>237.43843706563408</v>
      </c>
      <c r="K66" s="37">
        <f t="shared" si="9"/>
        <v>3.5</v>
      </c>
    </row>
    <row r="67" spans="2:11" ht="20" x14ac:dyDescent="0.4">
      <c r="B67" s="36">
        <v>35</v>
      </c>
      <c r="C67" s="34">
        <f t="shared" si="10"/>
        <v>47145.39334179947</v>
      </c>
      <c r="D67" s="34">
        <f t="shared" si="11"/>
        <v>11.55062136874087</v>
      </c>
      <c r="E67" s="7">
        <f t="shared" si="12"/>
        <v>13.970328219615444</v>
      </c>
      <c r="F67" s="7">
        <f t="shared" si="13"/>
        <v>3374.6804370425325</v>
      </c>
      <c r="G67" s="7">
        <f t="shared" si="14"/>
        <v>5.5010000000000012</v>
      </c>
      <c r="H67" s="35">
        <f t="shared" si="6"/>
        <v>1.0470823486638791E-2</v>
      </c>
      <c r="I67" s="7">
        <f t="shared" si="7"/>
        <v>35.335683180085411</v>
      </c>
      <c r="J67" s="7">
        <f t="shared" si="8"/>
        <v>247.34978226059786</v>
      </c>
      <c r="K67" s="37">
        <f t="shared" si="9"/>
        <v>3.5</v>
      </c>
    </row>
    <row r="68" spans="2:11" ht="20" x14ac:dyDescent="0.4">
      <c r="B68" s="36">
        <v>36</v>
      </c>
      <c r="C68" s="34">
        <f t="shared" si="10"/>
        <v>47133.84272043073</v>
      </c>
      <c r="D68" s="34">
        <f t="shared" si="11"/>
        <v>11.547791466505528</v>
      </c>
      <c r="E68" s="7">
        <f t="shared" si="12"/>
        <v>13.150625728347897</v>
      </c>
      <c r="F68" s="7">
        <f t="shared" si="13"/>
        <v>3584.1520923850458</v>
      </c>
      <c r="G68" s="7">
        <f t="shared" si="14"/>
        <v>5.6130000000000013</v>
      </c>
      <c r="H68" s="35">
        <f t="shared" si="6"/>
        <v>1.0261892036344198E-2</v>
      </c>
      <c r="I68" s="7">
        <f t="shared" si="7"/>
        <v>36.780181813892497</v>
      </c>
      <c r="J68" s="7">
        <f t="shared" si="8"/>
        <v>257.46127269724747</v>
      </c>
      <c r="K68" s="37">
        <f t="shared" si="9"/>
        <v>3.5</v>
      </c>
    </row>
    <row r="69" spans="2:11" ht="20" x14ac:dyDescent="0.4">
      <c r="B69" s="36">
        <v>37</v>
      </c>
      <c r="C69" s="34">
        <f t="shared" si="10"/>
        <v>47122.294928964227</v>
      </c>
      <c r="D69" s="34">
        <f t="shared" si="11"/>
        <v>11.544962257596234</v>
      </c>
      <c r="E69" s="7">
        <f t="shared" si="12"/>
        <v>12.393816773612288</v>
      </c>
      <c r="F69" s="7">
        <f t="shared" si="13"/>
        <v>3802.0809722871204</v>
      </c>
      <c r="G69" s="7">
        <f t="shared" si="14"/>
        <v>5.7250000000000014</v>
      </c>
      <c r="H69" s="35">
        <f t="shared" si="6"/>
        <v>1.0061135371179036E-2</v>
      </c>
      <c r="I69" s="7">
        <f t="shared" si="7"/>
        <v>38.253251354364728</v>
      </c>
      <c r="J69" s="7">
        <f t="shared" si="8"/>
        <v>267.77275948055308</v>
      </c>
      <c r="K69" s="37">
        <f t="shared" si="9"/>
        <v>3.5</v>
      </c>
    </row>
    <row r="70" spans="2:11" ht="20" x14ac:dyDescent="0.4">
      <c r="B70" s="36">
        <v>38</v>
      </c>
      <c r="C70" s="34">
        <f t="shared" si="10"/>
        <v>47110.749966706629</v>
      </c>
      <c r="D70" s="34">
        <f t="shared" si="11"/>
        <v>11.542133741843124</v>
      </c>
      <c r="E70" s="7">
        <f t="shared" si="12"/>
        <v>11.693983170688186</v>
      </c>
      <c r="F70" s="7">
        <f t="shared" si="13"/>
        <v>4028.6315859247279</v>
      </c>
      <c r="G70" s="7">
        <f t="shared" si="14"/>
        <v>5.8370000000000015</v>
      </c>
      <c r="H70" s="35">
        <f t="shared" si="6"/>
        <v>9.868082919307861E-3</v>
      </c>
      <c r="I70" s="7">
        <f t="shared" si="7"/>
        <v>39.754870541247946</v>
      </c>
      <c r="J70" s="7">
        <f t="shared" si="8"/>
        <v>278.28409378873562</v>
      </c>
      <c r="K70" s="37">
        <f t="shared" si="9"/>
        <v>3.5</v>
      </c>
    </row>
    <row r="71" spans="2:11" ht="20" x14ac:dyDescent="0.4">
      <c r="B71" s="36">
        <v>39</v>
      </c>
      <c r="C71" s="34">
        <f t="shared" si="10"/>
        <v>47099.207832964785</v>
      </c>
      <c r="D71" s="34">
        <f t="shared" si="11"/>
        <v>11.539305919076371</v>
      </c>
      <c r="E71" s="7">
        <f t="shared" si="12"/>
        <v>11.04586262374456</v>
      </c>
      <c r="F71" s="7">
        <f t="shared" si="13"/>
        <v>4263.9682781966467</v>
      </c>
      <c r="G71" s="7">
        <f t="shared" si="14"/>
        <v>5.9490000000000016</v>
      </c>
      <c r="H71" s="35">
        <f t="shared" si="6"/>
        <v>9.6822995461422062E-3</v>
      </c>
      <c r="I71" s="7">
        <f t="shared" si="7"/>
        <v>41.285018124748156</v>
      </c>
      <c r="J71" s="7">
        <f t="shared" si="8"/>
        <v>288.9951268732371</v>
      </c>
      <c r="K71" s="37">
        <f t="shared" si="9"/>
        <v>3.5</v>
      </c>
    </row>
    <row r="72" spans="2:11" ht="20" x14ac:dyDescent="0.4">
      <c r="B72" s="36">
        <v>40</v>
      </c>
      <c r="C72" s="34">
        <f t="shared" si="10"/>
        <v>47087.668527045709</v>
      </c>
      <c r="D72" s="34">
        <f t="shared" si="11"/>
        <v>13.1845471875728</v>
      </c>
      <c r="E72" s="7">
        <f t="shared" si="12"/>
        <v>10.444765463925652</v>
      </c>
      <c r="F72" s="7">
        <f t="shared" si="13"/>
        <v>4508.2552298257033</v>
      </c>
      <c r="G72" s="7">
        <f t="shared" si="14"/>
        <v>6.0610000000000017</v>
      </c>
      <c r="H72" s="35">
        <f t="shared" si="6"/>
        <v>1.1087279326843752E-2</v>
      </c>
      <c r="I72" s="7">
        <f t="shared" si="7"/>
        <v>49.98428500978175</v>
      </c>
      <c r="J72" s="7">
        <f t="shared" si="8"/>
        <v>349.88999506847227</v>
      </c>
      <c r="K72" s="37">
        <f t="shared" si="9"/>
        <v>3.5</v>
      </c>
    </row>
    <row r="73" spans="2:11" ht="20" x14ac:dyDescent="0.4">
      <c r="B73" s="36">
        <v>41</v>
      </c>
      <c r="C73" s="34">
        <f t="shared" si="10"/>
        <v>47074.483979858138</v>
      </c>
      <c r="D73" s="34">
        <f t="shared" si="11"/>
        <v>13.180855514360278</v>
      </c>
      <c r="E73" s="7">
        <f t="shared" si="12"/>
        <v>9.886503251301038</v>
      </c>
      <c r="F73" s="7">
        <f t="shared" si="13"/>
        <v>4761.4897586427496</v>
      </c>
      <c r="G73" s="7">
        <f t="shared" si="14"/>
        <v>6.1730000000000018</v>
      </c>
      <c r="H73" s="35">
        <f t="shared" si="6"/>
        <v>1.0886116960959012E-2</v>
      </c>
      <c r="I73" s="7">
        <f t="shared" si="7"/>
        <v>51.834134420993465</v>
      </c>
      <c r="J73" s="7">
        <f t="shared" si="8"/>
        <v>362.83894094695427</v>
      </c>
      <c r="K73" s="37">
        <f t="shared" si="9"/>
        <v>3.5</v>
      </c>
    </row>
    <row r="74" spans="2:11" ht="20" x14ac:dyDescent="0.4">
      <c r="B74" s="36">
        <v>42</v>
      </c>
      <c r="C74" s="34">
        <f t="shared" si="10"/>
        <v>47061.30312434378</v>
      </c>
      <c r="D74" s="34">
        <f t="shared" si="11"/>
        <v>13.17716487481626</v>
      </c>
      <c r="E74" s="7">
        <f t="shared" si="12"/>
        <v>9.3673273722827304</v>
      </c>
      <c r="F74" s="7">
        <f t="shared" si="13"/>
        <v>5023.9840302362973</v>
      </c>
      <c r="G74" s="7">
        <f t="shared" si="14"/>
        <v>6.2850000000000019</v>
      </c>
      <c r="H74" s="35">
        <f t="shared" si="6"/>
        <v>1.0692124105011929E-2</v>
      </c>
      <c r="I74" s="7">
        <f t="shared" si="7"/>
        <v>53.717060752884493</v>
      </c>
      <c r="J74" s="7">
        <f t="shared" si="8"/>
        <v>376.01942527019145</v>
      </c>
      <c r="K74" s="37">
        <f t="shared" si="9"/>
        <v>3.5</v>
      </c>
    </row>
    <row r="75" spans="2:11" ht="20" x14ac:dyDescent="0.4">
      <c r="B75" s="36">
        <v>43</v>
      </c>
      <c r="C75" s="34">
        <f t="shared" si="10"/>
        <v>47048.125959468962</v>
      </c>
      <c r="D75" s="34">
        <f t="shared" si="11"/>
        <v>13.173475268651311</v>
      </c>
      <c r="E75" s="7">
        <f t="shared" si="12"/>
        <v>8.8838760854150376</v>
      </c>
      <c r="F75" s="7">
        <f t="shared" si="13"/>
        <v>5295.9007427748202</v>
      </c>
      <c r="G75" s="7">
        <f t="shared" si="14"/>
        <v>6.397000000000002</v>
      </c>
      <c r="H75" s="35">
        <f t="shared" si="6"/>
        <v>1.0504924183210876E-2</v>
      </c>
      <c r="I75" s="7">
        <f t="shared" si="7"/>
        <v>55.633035784659647</v>
      </c>
      <c r="J75" s="7">
        <f t="shared" si="8"/>
        <v>389.43125049261755</v>
      </c>
      <c r="K75" s="37">
        <f t="shared" si="9"/>
        <v>4.5</v>
      </c>
    </row>
    <row r="76" spans="2:11" ht="20" x14ac:dyDescent="0.4">
      <c r="B76" s="36">
        <v>44</v>
      </c>
      <c r="C76" s="34">
        <f t="shared" si="10"/>
        <v>47034.952484200308</v>
      </c>
      <c r="D76" s="34">
        <f t="shared" si="11"/>
        <v>13.169786695576086</v>
      </c>
      <c r="E76" s="7">
        <f t="shared" si="12"/>
        <v>8.433128729997307</v>
      </c>
      <c r="F76" s="7">
        <f t="shared" si="13"/>
        <v>5577.4024078267958</v>
      </c>
      <c r="G76" s="7">
        <f t="shared" si="14"/>
        <v>6.5090000000000021</v>
      </c>
      <c r="H76" s="35">
        <f t="shared" si="6"/>
        <v>1.0324166538638805E-2</v>
      </c>
      <c r="I76" s="7">
        <f t="shared" si="7"/>
        <v>57.582031311408905</v>
      </c>
      <c r="J76" s="7">
        <f t="shared" si="8"/>
        <v>403.07421917986233</v>
      </c>
      <c r="K76" s="37">
        <f t="shared" si="9"/>
        <v>4.5</v>
      </c>
    </row>
    <row r="77" spans="2:11" ht="20" x14ac:dyDescent="0.4">
      <c r="B77" s="36">
        <v>45</v>
      </c>
      <c r="C77" s="34">
        <f t="shared" si="10"/>
        <v>47021.782697504736</v>
      </c>
      <c r="D77" s="34">
        <f t="shared" si="11"/>
        <v>13.166099155301326</v>
      </c>
      <c r="E77" s="7">
        <f t="shared" si="12"/>
        <v>8.0123660257240985</v>
      </c>
      <c r="F77" s="7">
        <f t="shared" si="13"/>
        <v>5868.6513504923478</v>
      </c>
      <c r="G77" s="7">
        <f t="shared" si="14"/>
        <v>6.6210000000000022</v>
      </c>
      <c r="H77" s="35">
        <f t="shared" si="6"/>
        <v>1.0149524241051196E-2</v>
      </c>
      <c r="I77" s="7">
        <f t="shared" si="7"/>
        <v>59.564019144099923</v>
      </c>
      <c r="J77" s="7">
        <f t="shared" si="8"/>
        <v>416.94813400869947</v>
      </c>
      <c r="K77" s="37">
        <f t="shared" si="9"/>
        <v>4.5</v>
      </c>
    </row>
    <row r="78" spans="2:11" ht="20" x14ac:dyDescent="0.4">
      <c r="B78" s="36">
        <v>46</v>
      </c>
      <c r="C78" s="34">
        <f t="shared" si="10"/>
        <v>47008.616598349436</v>
      </c>
      <c r="D78" s="34">
        <f t="shared" si="11"/>
        <v>13.162412647537844</v>
      </c>
      <c r="E78" s="7">
        <f t="shared" si="12"/>
        <v>7.6191355668072474</v>
      </c>
      <c r="F78" s="7">
        <f t="shared" si="13"/>
        <v>6169.8097095348194</v>
      </c>
      <c r="G78" s="7">
        <f t="shared" si="14"/>
        <v>6.7330000000000023</v>
      </c>
      <c r="H78" s="35">
        <f t="shared" si="6"/>
        <v>9.9806921134709594E-3</v>
      </c>
      <c r="I78" s="7">
        <f t="shared" si="7"/>
        <v>61.578971109570723</v>
      </c>
      <c r="J78" s="7">
        <f t="shared" si="8"/>
        <v>431.05279776699507</v>
      </c>
      <c r="K78" s="37">
        <f t="shared" si="9"/>
        <v>4.5</v>
      </c>
    </row>
    <row r="79" spans="2:11" ht="20" x14ac:dyDescent="0.4">
      <c r="B79" s="36">
        <v>47</v>
      </c>
      <c r="C79" s="34">
        <f t="shared" si="10"/>
        <v>46995.454185701899</v>
      </c>
      <c r="D79" s="34">
        <f t="shared" si="11"/>
        <v>13.158727171996532</v>
      </c>
      <c r="E79" s="7">
        <f t="shared" si="12"/>
        <v>7.2512217583019298</v>
      </c>
      <c r="F79" s="7">
        <f t="shared" si="13"/>
        <v>6481.0394375122733</v>
      </c>
      <c r="G79" s="7">
        <f t="shared" si="14"/>
        <v>6.8450000000000024</v>
      </c>
      <c r="H79" s="35">
        <f t="shared" si="6"/>
        <v>9.8173849525200838E-3</v>
      </c>
      <c r="I79" s="7">
        <f t="shared" si="7"/>
        <v>63.626859050522221</v>
      </c>
      <c r="J79" s="7">
        <f t="shared" si="8"/>
        <v>445.38801335365554</v>
      </c>
      <c r="K79" s="37">
        <f t="shared" si="9"/>
        <v>4.5</v>
      </c>
    </row>
    <row r="80" spans="2:11" ht="20" x14ac:dyDescent="0.4">
      <c r="B80" s="36">
        <v>48</v>
      </c>
      <c r="C80" s="34">
        <f t="shared" si="10"/>
        <v>46982.295458529901</v>
      </c>
      <c r="D80" s="34">
        <f t="shared" si="11"/>
        <v>13.155042728388374</v>
      </c>
      <c r="E80" s="7">
        <f t="shared" si="12"/>
        <v>6.906619561488788</v>
      </c>
      <c r="F80" s="7">
        <f t="shared" si="13"/>
        <v>6802.5023009089</v>
      </c>
      <c r="G80" s="7">
        <f t="shared" si="14"/>
        <v>6.9570000000000025</v>
      </c>
      <c r="H80" s="35">
        <f t="shared" si="6"/>
        <v>9.659335920655451E-3</v>
      </c>
      <c r="I80" s="7">
        <f t="shared" si="7"/>
        <v>65.707654825510687</v>
      </c>
      <c r="J80" s="7">
        <f t="shared" si="8"/>
        <v>459.9535837785748</v>
      </c>
      <c r="K80" s="37">
        <f t="shared" si="9"/>
        <v>4.5</v>
      </c>
    </row>
    <row r="81" spans="2:11" ht="20" x14ac:dyDescent="0.4">
      <c r="B81" s="36">
        <v>49</v>
      </c>
      <c r="C81" s="34">
        <f t="shared" si="10"/>
        <v>46969.140415801514</v>
      </c>
      <c r="D81" s="34">
        <f t="shared" si="11"/>
        <v>13.151359316424426</v>
      </c>
      <c r="E81" s="7">
        <f t="shared" si="12"/>
        <v>6.5835115138665721</v>
      </c>
      <c r="F81" s="7">
        <f t="shared" si="13"/>
        <v>7134.3598802663892</v>
      </c>
      <c r="G81" s="7">
        <f t="shared" si="14"/>
        <v>7.0690000000000026</v>
      </c>
      <c r="H81" s="35">
        <f t="shared" si="6"/>
        <v>9.5062950912434534E-3</v>
      </c>
      <c r="I81" s="7">
        <f t="shared" si="7"/>
        <v>67.821330308940603</v>
      </c>
      <c r="J81" s="7">
        <f t="shared" si="8"/>
        <v>474.7493121625842</v>
      </c>
      <c r="K81" s="37">
        <f t="shared" si="9"/>
        <v>4.5</v>
      </c>
    </row>
    <row r="82" spans="2:11" ht="20" x14ac:dyDescent="0.4">
      <c r="B82" s="36">
        <v>50</v>
      </c>
      <c r="C82" s="34">
        <f t="shared" si="10"/>
        <v>46955.989056485087</v>
      </c>
      <c r="D82" s="34">
        <f t="shared" si="11"/>
        <v>13.147676935815825</v>
      </c>
      <c r="E82" s="7">
        <f t="shared" si="12"/>
        <v>6.2802475713472345</v>
      </c>
      <c r="F82" s="7">
        <f t="shared" si="13"/>
        <v>7476.7735703151775</v>
      </c>
      <c r="G82" s="7">
        <f t="shared" si="14"/>
        <v>7.1810000000000027</v>
      </c>
      <c r="H82" s="35">
        <f t="shared" si="6"/>
        <v>9.3580281297869338E-3</v>
      </c>
      <c r="I82" s="7">
        <f t="shared" si="7"/>
        <v>69.96785739105691</v>
      </c>
      <c r="J82" s="7">
        <f t="shared" si="8"/>
        <v>489.77500173739838</v>
      </c>
      <c r="K82" s="37">
        <f t="shared" si="9"/>
        <v>4.5</v>
      </c>
    </row>
    <row r="83" spans="2:11" ht="20" x14ac:dyDescent="0.4">
      <c r="B83" s="36">
        <v>51</v>
      </c>
      <c r="C83" s="34">
        <f t="shared" si="10"/>
        <v>46942.841379549274</v>
      </c>
      <c r="D83" s="34">
        <f t="shared" si="11"/>
        <v>13.143995586273798</v>
      </c>
      <c r="E83" s="7">
        <f t="shared" si="12"/>
        <v>5.9953273886405096</v>
      </c>
      <c r="F83" s="7">
        <f t="shared" si="13"/>
        <v>7829.9045801056673</v>
      </c>
      <c r="G83" s="7">
        <f t="shared" si="14"/>
        <v>7.2930000000000028</v>
      </c>
      <c r="H83" s="35">
        <f t="shared" si="6"/>
        <v>9.2143150966680337E-3</v>
      </c>
      <c r="I83" s="7">
        <f t="shared" si="7"/>
        <v>72.147207977937825</v>
      </c>
      <c r="J83" s="7">
        <f t="shared" si="8"/>
        <v>505.0304558455648</v>
      </c>
      <c r="K83" s="37">
        <f t="shared" si="9"/>
        <v>4.5</v>
      </c>
    </row>
    <row r="84" spans="2:11" ht="20.5" thickBot="1" x14ac:dyDescent="0.45">
      <c r="B84" s="38">
        <v>52</v>
      </c>
      <c r="C84" s="39">
        <f t="shared" si="10"/>
        <v>46929.697383963001</v>
      </c>
      <c r="D84" s="39">
        <f t="shared" si="11"/>
        <v>13.14031526750964</v>
      </c>
      <c r="E84" s="40">
        <f t="shared" si="12"/>
        <v>5.7273847110061995</v>
      </c>
      <c r="F84" s="40">
        <f t="shared" si="13"/>
        <v>8193.9139331393526</v>
      </c>
      <c r="G84" s="40">
        <f t="shared" si="14"/>
        <v>7.4050000000000029</v>
      </c>
      <c r="H84" s="41">
        <f t="shared" si="6"/>
        <v>9.0749493585415217E-3</v>
      </c>
      <c r="I84" s="40">
        <f t="shared" si="7"/>
        <v>74.35935399148741</v>
      </c>
      <c r="J84" s="40">
        <f t="shared" si="8"/>
        <v>520.51547794041187</v>
      </c>
      <c r="K84" s="42">
        <f t="shared" si="9"/>
        <v>4.5</v>
      </c>
    </row>
  </sheetData>
  <mergeCells count="6">
    <mergeCell ref="B8:B9"/>
    <mergeCell ref="C8:J9"/>
    <mergeCell ref="C6:I6"/>
    <mergeCell ref="C18:F18"/>
    <mergeCell ref="H11:J11"/>
    <mergeCell ref="C11:F11"/>
  </mergeCells>
  <pageMargins left="0.7" right="0.7" top="0.75" bottom="0.75" header="0.3" footer="0.3"/>
  <pageSetup scale="3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17392241356E41958820FFFBCF3BDA" ma:contentTypeVersion="0" ma:contentTypeDescription="Create a new document." ma:contentTypeScope="" ma:versionID="cee425ce9c3405a944de1111db83cc7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22DBF-0349-4D5D-AA69-DF4E8AA0E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6978109-C129-436F-8CB1-3DEF700F0BD5}">
  <ds:schemaRef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D21AB8BE-48DD-41AB-B53A-D903FA48BB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Feed Projection Calculator</vt:lpstr>
    </vt:vector>
  </TitlesOfParts>
  <Company>IDFG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tfrew</dc:creator>
  <cp:lastModifiedBy>Jesse Trushenski</cp:lastModifiedBy>
  <cp:lastPrinted>2024-04-09T22:31:14Z</cp:lastPrinted>
  <dcterms:created xsi:type="dcterms:W3CDTF">2011-01-26T01:23:14Z</dcterms:created>
  <dcterms:modified xsi:type="dcterms:W3CDTF">2024-06-02T19:22:26Z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0x0101008017392241356E41958820FFFBCF3BDA</vt:lpwstr>
  </property>
</Properties>
</file>